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Config" sheetId="2" state="visible" r:id="rId2"/>
    <sheet name="Controle_2026" sheetId="3" state="visible" r:id="rId3"/>
    <sheet name="3_Contas_Mensal" sheetId="4" state="visible" r:id="rId4"/>
    <sheet name="3_Contas_Semanal" sheetId="5" state="visible" r:id="rId5"/>
    <sheet name="Relatorio_Mensal" sheetId="6" state="visible" r:id="rId6"/>
  </sheets>
  <definedNames>
    <definedName name="_xlnm.Print_Area" localSheetId="5">'Relatorio_Mensal'!$A$1:$C$29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;-0.0%;&quot;-&quot;"/>
    <numFmt numFmtId="165" formatCode="&quot;R$&quot; #,##0.00;-&quot;R$&quot; #,##0.00;&quot;-&quot;"/>
    <numFmt numFmtId="166" formatCode="dd/mm/yyyy"/>
  </numFmts>
  <fonts count="20">
    <font>
      <name val="Calibri"/>
      <family val="2"/>
      <color theme="1"/>
      <sz val="11"/>
      <scheme val="minor"/>
    </font>
    <font>
      <name val="Arial"/>
      <b val="1"/>
      <color rgb="000F7A55"/>
      <sz val="15"/>
    </font>
    <font>
      <name val="Arial"/>
      <color rgb="00475569"/>
      <sz val="9"/>
    </font>
    <font>
      <name val="Arial"/>
      <b val="1"/>
      <color rgb="000F172A"/>
      <sz val="11"/>
    </font>
    <font>
      <name val="Arial"/>
      <sz val="10"/>
    </font>
    <font>
      <name val="Arial"/>
      <color rgb="000000FF"/>
      <sz val="10"/>
    </font>
    <font>
      <name val="Arial"/>
      <color rgb="00008000"/>
      <sz val="10"/>
    </font>
    <font>
      <name val="Arial"/>
      <b val="1"/>
      <color rgb="00000000"/>
      <sz val="10"/>
    </font>
    <font>
      <name val="Arial"/>
      <b val="1"/>
      <sz val="10"/>
    </font>
    <font>
      <name val="Arial"/>
      <color rgb="0064748B"/>
      <sz val="8"/>
    </font>
    <font>
      <name val="Arial"/>
      <b val="1"/>
      <color rgb="00FFFFFF"/>
      <sz val="10"/>
    </font>
    <font>
      <name val="Arial"/>
      <color rgb="00000000"/>
      <sz val="10"/>
    </font>
    <font>
      <name val="Arial"/>
      <i val="1"/>
      <color rgb="0064748B"/>
      <sz val="10"/>
    </font>
    <font>
      <name val="Arial"/>
      <i val="1"/>
      <color rgb="0064748B"/>
      <sz val="9"/>
    </font>
    <font>
      <name val="Arial"/>
      <b val="1"/>
      <color rgb="000F7A55"/>
      <sz val="12"/>
    </font>
    <font>
      <name val="Arial"/>
      <color rgb="000F172A"/>
      <sz val="10"/>
    </font>
    <font>
      <name val="Arial"/>
      <b val="1"/>
      <color rgb="000F7A55"/>
      <sz val="10"/>
    </font>
    <font>
      <name val="Arial"/>
      <b val="1"/>
      <color rgb="000F172A"/>
      <sz val="10"/>
    </font>
    <font>
      <name val="Arial"/>
      <color rgb="00008000"/>
      <sz val="9"/>
    </font>
    <font>
      <name val="Arial"/>
      <b val="1"/>
      <sz val="14"/>
    </font>
  </fonts>
  <fills count="7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F8FAFC"/>
      </patternFill>
    </fill>
    <fill>
      <patternFill patternType="solid">
        <fgColor rgb="000F7A55"/>
      </patternFill>
    </fill>
    <fill>
      <patternFill patternType="solid">
        <fgColor rgb="00F1F5F9"/>
      </patternFill>
    </fill>
    <fill>
      <patternFill patternType="solid">
        <fgColor rgb="00E8F5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6" fillId="0" borderId="0" pivotButton="0" quotePrefix="0" xfId="0"/>
    <xf numFmtId="0" fontId="4" fillId="3" borderId="0" pivotButton="0" quotePrefix="0" xfId="0"/>
    <xf numFmtId="0" fontId="5" fillId="2" borderId="1" pivotButton="0" quotePrefix="0" xfId="0"/>
    <xf numFmtId="0" fontId="8" fillId="0" borderId="0" pivotButton="0" quotePrefix="0" xfId="0"/>
    <xf numFmtId="164" fontId="5" fillId="0" borderId="0" pivotButton="0" quotePrefix="0" xfId="0"/>
    <xf numFmtId="164" fontId="7" fillId="0" borderId="1" pivotButton="0" quotePrefix="0" xfId="0"/>
    <xf numFmtId="1" fontId="5" fillId="2" borderId="1" pivotButton="0" quotePrefix="0" xfId="0"/>
    <xf numFmtId="165" fontId="5" fillId="2" borderId="1" pivotButton="0" quotePrefix="0" xfId="0"/>
    <xf numFmtId="0" fontId="9" fillId="0" borderId="0" pivotButton="0" quotePrefix="0" xfId="0"/>
    <xf numFmtId="165" fontId="7" fillId="0" borderId="1" pivotButton="0" quotePrefix="0" xfId="0"/>
    <xf numFmtId="164" fontId="5" fillId="2" borderId="1" pivotButton="0" quotePrefix="0" xfId="0"/>
    <xf numFmtId="0" fontId="10" fillId="4" borderId="1" applyAlignment="1" pivotButton="0" quotePrefix="0" xfId="0">
      <alignment horizontal="center" vertical="center" wrapText="1"/>
    </xf>
    <xf numFmtId="165" fontId="11" fillId="0" borderId="1" pivotButton="0" quotePrefix="0" xfId="0"/>
    <xf numFmtId="164" fontId="11" fillId="0" borderId="1" pivotButton="0" quotePrefix="0" xfId="0"/>
    <xf numFmtId="0" fontId="11" fillId="0" borderId="1" pivotButton="0" quotePrefix="0" xfId="0"/>
    <xf numFmtId="0" fontId="8" fillId="5" borderId="0" pivotButton="0" quotePrefix="0" xfId="0"/>
    <xf numFmtId="165" fontId="7" fillId="5" borderId="1" pivotButton="0" quotePrefix="0" xfId="0"/>
    <xf numFmtId="164" fontId="7" fillId="5" borderId="1" pivotButton="0" quotePrefix="0" xfId="0"/>
    <xf numFmtId="0" fontId="7" fillId="5" borderId="1" pivotButton="0" quotePrefix="0" xfId="0"/>
    <xf numFmtId="0" fontId="12" fillId="0" borderId="0" pivotButton="0" quotePrefix="0" xfId="0"/>
    <xf numFmtId="165" fontId="12" fillId="3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15" fillId="0" borderId="0" pivotButton="0" quotePrefix="0" xfId="0"/>
    <xf numFmtId="165" fontId="6" fillId="0" borderId="1" pivotButton="0" quotePrefix="0" xfId="0"/>
    <xf numFmtId="1" fontId="11" fillId="0" borderId="1" pivotButton="0" quotePrefix="0" xfId="0"/>
    <xf numFmtId="0" fontId="16" fillId="0" borderId="0" pivotButton="0" quotePrefix="0" xfId="0"/>
    <xf numFmtId="164" fontId="6" fillId="0" borderId="1" pivotButton="0" quotePrefix="0" xfId="0"/>
    <xf numFmtId="0" fontId="17" fillId="0" borderId="0" pivotButton="0" quotePrefix="0" xfId="0"/>
    <xf numFmtId="0" fontId="18" fillId="0" borderId="0" pivotButton="0" quotePrefix="0" xfId="0"/>
    <xf numFmtId="0" fontId="0" fillId="5" borderId="0" pivotButton="0" quotePrefix="0" xfId="0"/>
    <xf numFmtId="166" fontId="4" fillId="0" borderId="1" pivotButton="0" quotePrefix="0" xfId="0"/>
    <xf numFmtId="0" fontId="19" fillId="0" borderId="0" pivotButton="0" quotePrefix="0" xfId="0"/>
    <xf numFmtId="0" fontId="6" fillId="0" borderId="1" pivotButton="0" quotePrefix="0" xfId="0"/>
    <xf numFmtId="0" fontId="16" fillId="6" borderId="1" applyAlignment="1" pivotButton="0" quotePrefix="0" xfId="0">
      <alignment vertical="center" wrapText="1"/>
    </xf>
    <xf numFmtId="0" fontId="0" fillId="6" borderId="1" pivotButton="0" quotePrefix="0" xfId="0"/>
    <xf numFmtId="0" fontId="4" fillId="0" borderId="1" applyAlignment="1" pivotButton="0" quotePrefix="0" xfId="0">
      <alignment vertical="center" wrapText="1"/>
    </xf>
    <xf numFmtId="0" fontId="8" fillId="0" borderId="1" applyAlignment="1" pivotButton="0" quotePrefix="0" xfId="0">
      <alignment vertical="center" wrapText="1"/>
    </xf>
    <xf numFmtId="0" fontId="8" fillId="5" borderId="1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name val="Arial"/>
        <b val="1"/>
        <color rgb="00B91C1C"/>
      </font>
      <fill>
        <patternFill patternType="solid">
          <fgColor rgb="00FEE2E2"/>
        </patternFill>
      </fill>
    </dxf>
    <dxf>
      <font>
        <name val="Arial"/>
        <color rgb="00C2410C"/>
      </font>
      <fill>
        <patternFill patternType="solid">
          <fgColor rgb="00FFEDD5"/>
        </patternFill>
      </fill>
    </dxf>
    <dxf>
      <font>
        <name val="Arial"/>
        <color rgb="00B45309"/>
      </font>
      <fill>
        <patternFill patternType="solid">
          <fgColor rgb="00FEF3C7"/>
        </patternFill>
      </fill>
    </dxf>
    <dxf>
      <font>
        <name val="Arial"/>
        <color rgb="0015803D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MEI na Real</author>
  </authors>
  <commentList>
    <comment ref="B9" authorId="0" shapeId="0">
      <text>
        <t>Limite oficial do MEI: LC 123/2006, art. 18-A. Só mude se a lei mudar (o PLP 108/2021 ainda não está em vigor).</t>
      </text>
    </comment>
    <comment ref="B13" authorId="0" shapeId="0">
      <text>
        <t>2026: R$ 82,05 comércio/indústria, R$ 86,05 serviços, R$ 87,05 comércio e serviços (5% do salário mínimo de R$ 1.621,00 + ICMS/ISS).</t>
      </text>
    </comment>
    <comment ref="B14" authorId="0" shapeId="0">
      <text>
        <t>Critério da declaração de 2026 (ano-base 2025). Atualize quando a Receita publicar as regras da próxima declaração.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95" customWidth="1" min="2" max="2"/>
  </cols>
  <sheetData>
    <row r="1">
      <c r="A1" s="1" t="inlineStr">
        <is>
          <t>Planilha das 3 Contas + Controle do Teto MEI 2026</t>
        </is>
      </c>
    </row>
    <row r="2">
      <c r="A2" s="2" t="inlineStr">
        <is>
          <t>MEI na Real · www.meinareal.com.br/calculadora/ · valores oficiais de 2026</t>
        </is>
      </c>
    </row>
    <row r="4">
      <c r="A4" s="3" t="inlineStr">
        <is>
          <t>Passo a passo</t>
        </is>
      </c>
    </row>
    <row r="5">
      <c r="A5" s="4" t="inlineStr">
        <is>
          <t>1. Aba Config: preencha nome, CNPJ, atividade principal, mês de abertura e o % da reserva.</t>
        </is>
      </c>
    </row>
    <row r="6">
      <c r="A6" s="4" t="inlineStr">
        <is>
          <t>2. Aba Controle_2026: todo mês, lance o faturamento bruto separado por tipo, com e sem nota fiscal, e as despesas comprovadas.</t>
        </is>
      </c>
    </row>
    <row r="7">
      <c r="A7" s="4" t="inlineStr">
        <is>
          <t>3. A mesma aba soma o ano, mostra o alerta do teto de R$ 81.000,00 e calcula a parcela isenta e a tributável do IRPF.</t>
        </is>
      </c>
    </row>
    <row r="8">
      <c r="A8" s="4" t="inlineStr">
        <is>
          <t>4. Abas 3_Contas_Mensal ou 3_Contas_Semanal: lance o que entrou e os custos. A planilha divide entre empresa, reserva e pró-labore.</t>
        </is>
      </c>
    </row>
    <row r="9">
      <c r="A9" s="4" t="inlineStr">
        <is>
          <t>5. Aba Relatorio_Mensal: escolha o mês e imprima. É o Relatório Mensal de Receitas Brutas, para guardar com as notas até o dia 20.</t>
        </is>
      </c>
    </row>
    <row r="10">
      <c r="A10" s="4" t="inlineStr"/>
    </row>
    <row r="11">
      <c r="A11" s="3" t="inlineStr">
        <is>
          <t>Legenda</t>
        </is>
      </c>
    </row>
    <row r="12">
      <c r="A12" s="5" t="inlineStr">
        <is>
          <t>Texto azul em fundo amarelo claro</t>
        </is>
      </c>
      <c r="B12" s="4" t="inlineStr">
        <is>
          <t>Célula para você preencher</t>
        </is>
      </c>
    </row>
    <row r="13">
      <c r="A13" s="4" t="inlineStr">
        <is>
          <t>Texto preto</t>
        </is>
      </c>
      <c r="B13" s="4" t="inlineStr">
        <is>
          <t>Fórmula: não precisa mexer</t>
        </is>
      </c>
    </row>
    <row r="14">
      <c r="A14" s="6" t="inlineStr">
        <is>
          <t>Texto verde</t>
        </is>
      </c>
      <c r="B14" s="4" t="inlineStr">
        <is>
          <t>Puxa um valor de outra aba</t>
        </is>
      </c>
    </row>
    <row r="15">
      <c r="A15" s="7" t="inlineStr">
        <is>
          <t>Linha "Exemplo"</t>
        </is>
      </c>
      <c r="B15" s="4" t="inlineStr">
        <is>
          <t>Mostra o formato esperado e não entra nas somas</t>
        </is>
      </c>
    </row>
    <row r="16">
      <c r="A16" s="4" t="inlineStr"/>
    </row>
    <row r="17">
      <c r="A17" s="3" t="inlineStr">
        <is>
          <t>Valores de referência em 2026</t>
        </is>
      </c>
    </row>
    <row r="18">
      <c r="A18" s="4" t="inlineStr">
        <is>
          <t>Salário mínimo</t>
        </is>
      </c>
      <c r="B18" s="4" t="inlineStr">
        <is>
          <t>R$ 1.621,00 (Decreto nº 12.797/2025)</t>
        </is>
      </c>
    </row>
    <row r="19">
      <c r="A19" s="4" t="inlineStr">
        <is>
          <t>INSS do MEI (5%)</t>
        </is>
      </c>
      <c r="B19" s="4" t="inlineStr">
        <is>
          <t>R$ 81,05</t>
        </is>
      </c>
    </row>
    <row r="20">
      <c r="A20" s="4" t="inlineStr">
        <is>
          <t>DAS mensal</t>
        </is>
      </c>
      <c r="B20" s="4" t="inlineStr">
        <is>
          <t>R$ 82,05 comércio/indústria · R$ 86,05 serviços · R$ 87,05 comércio e serviços</t>
        </is>
      </c>
    </row>
    <row r="21">
      <c r="A21" s="4" t="inlineStr">
        <is>
          <t>Limite anual</t>
        </is>
      </c>
      <c r="B21" s="4" t="inlineStr">
        <is>
          <t>R$ 81.000,00, ou R$ 6.750,00 por mês de atividade no ano de abertura (LC 123/2006, art. 18-A)</t>
        </is>
      </c>
    </row>
    <row r="22">
      <c r="A22" s="4" t="inlineStr">
        <is>
          <t>Tolerância</t>
        </is>
      </c>
      <c r="B22" s="4" t="inlineStr">
        <is>
          <t>Até 20% acima (R$ 97.200,00): DAS complementar e saída do MEI em janeiro. Acima disso: desenquadramento retroativo.</t>
        </is>
      </c>
    </row>
    <row r="23">
      <c r="A23" s="4" t="inlineStr">
        <is>
          <t>Parcela isenta do IRPF</t>
        </is>
      </c>
      <c r="B23" s="4" t="inlineStr">
        <is>
          <t>8% comércio e indústria · 16% transporte de passageiros · 32% serviços, sobre a receita bruta (LC 123/2006, art. 14)</t>
        </is>
      </c>
    </row>
    <row r="24">
      <c r="A24" s="4" t="inlineStr"/>
    </row>
    <row r="25">
      <c r="A25" s="4" t="inlineStr">
        <is>
          <t>Aviso</t>
        </is>
      </c>
      <c r="B25" s="4" t="inlineStr">
        <is>
          <t>Planilha educativa. Ela não substitui a orientação de um contador. Confira os valores no Portal do Empreendedor (gov.br/mei).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1" workbookViewId="0">
      <selection activeCell="A1" sqref="A1"/>
    </sheetView>
  </sheetViews>
  <sheetFormatPr baseColWidth="8" defaultRowHeight="15"/>
  <cols>
    <col width="58" customWidth="1" min="1" max="1"/>
    <col width="24" customWidth="1" min="2" max="2"/>
    <col width="3" customWidth="1" min="3" max="3"/>
    <col width="28" customWidth="1" min="4" max="4"/>
    <col width="10" customWidth="1" min="5" max="5"/>
  </cols>
  <sheetData>
    <row r="1">
      <c r="A1" s="1" t="inlineStr">
        <is>
          <t>Configuração</t>
        </is>
      </c>
    </row>
    <row r="2">
      <c r="A2" s="2" t="inlineStr">
        <is>
          <t>Preencha as células amarelas. As outras abas usam estes valores.</t>
        </is>
      </c>
    </row>
    <row r="4">
      <c r="A4" s="4" t="inlineStr">
        <is>
          <t>Nome do empreendedor ou nome empresarial</t>
        </is>
      </c>
      <c r="B4" s="8" t="inlineStr">
        <is>
          <t>Seu nome aqui</t>
        </is>
      </c>
    </row>
    <row r="5">
      <c r="A5" s="4" t="inlineStr">
        <is>
          <t>CNPJ</t>
        </is>
      </c>
      <c r="B5" s="8" t="inlineStr">
        <is>
          <t>00.000.000/0001-00</t>
        </is>
      </c>
      <c r="D5" s="9" t="inlineStr">
        <is>
          <t>Tabela de percentuais (IRPF)</t>
        </is>
      </c>
    </row>
    <row r="6">
      <c r="A6" s="4" t="inlineStr">
        <is>
          <t>Atividade principal (para o IRPF)</t>
        </is>
      </c>
      <c r="B6" s="8" t="inlineStr">
        <is>
          <t>Serviços em geral</t>
        </is>
      </c>
      <c r="D6" s="4" t="inlineStr">
        <is>
          <t>Comércio e indústria</t>
        </is>
      </c>
      <c r="E6" s="10" t="n">
        <v>0.08</v>
      </c>
    </row>
    <row r="7">
      <c r="A7" s="4" t="inlineStr">
        <is>
          <t>Percentual da parcela isenta do IRPF</t>
        </is>
      </c>
      <c r="B7" s="11">
        <f>INDEX($E$6:$E$8,MATCH($B$6,$D$6:$D$8,0))</f>
        <v/>
      </c>
      <c r="D7" s="4" t="inlineStr">
        <is>
          <t>Transporte de passageiros</t>
        </is>
      </c>
      <c r="E7" s="10" t="n">
        <v>0.16</v>
      </c>
    </row>
    <row r="8">
      <c r="A8" s="4" t="inlineStr">
        <is>
          <t>Mês de abertura do CNPJ em 2026 (0 = aberto antes de 2026)</t>
        </is>
      </c>
      <c r="B8" s="12" t="n">
        <v>0</v>
      </c>
      <c r="D8" s="4" t="inlineStr">
        <is>
          <t>Serviços em geral</t>
        </is>
      </c>
      <c r="E8" s="10" t="n">
        <v>0.32</v>
      </c>
    </row>
    <row r="9">
      <c r="A9" s="4" t="inlineStr">
        <is>
          <t>Limite anual do MEI</t>
        </is>
      </c>
      <c r="B9" s="13" t="n">
        <v>81000</v>
      </c>
      <c r="D9" s="14" t="inlineStr">
        <is>
          <t>Fonte: LC 123/2006, art. 14, e Lei 9.249/1995, art. 15.</t>
        </is>
      </c>
    </row>
    <row r="10">
      <c r="A10" s="4" t="inlineStr">
        <is>
          <t>Seu limite em 2026 (proporcional aos meses de atividade)</t>
        </is>
      </c>
      <c r="B10" s="15">
        <f>B9/12*IF(B8=0,12,13-B8)</f>
        <v/>
      </c>
    </row>
    <row r="11">
      <c r="A11" s="4" t="inlineStr">
        <is>
          <t>Limite com a tolerância de 20%</t>
        </is>
      </c>
      <c r="B11" s="15">
        <f>B10*1.2</f>
        <v/>
      </c>
    </row>
    <row r="12">
      <c r="A12" s="4" t="inlineStr">
        <is>
          <t>Caixa de segurança: % do lucro (10% a 15%)</t>
        </is>
      </c>
      <c r="B12" s="16" t="n">
        <v>0.12</v>
      </c>
    </row>
    <row r="13">
      <c r="A13" s="4" t="inlineStr">
        <is>
          <t>DAS mensal do seu tipo de MEI</t>
        </is>
      </c>
      <c r="B13" s="13" t="n">
        <v>86.05</v>
      </c>
    </row>
    <row r="14">
      <c r="A14" s="4" t="inlineStr">
        <is>
          <t>Rendimentos tributáveis que obrigam a declarar o IRPF</t>
        </is>
      </c>
      <c r="B14" s="13" t="n">
        <v>35584</v>
      </c>
    </row>
  </sheetData>
  <dataValidations count="3">
    <dataValidation sqref="B6" showDropDown="0" showInputMessage="0" showErrorMessage="0" allowBlank="0" type="list">
      <formula1>=$D$6:$D$8</formula1>
    </dataValidation>
    <dataValidation sqref="B8" showDropDown="0" showInputMessage="0" showErrorMessage="0" allowBlank="0" error="Use 0 (aberto antes de 2026) ou o número do mês, de 1 a 12." type="whole" operator="between">
      <formula1>0</formula1>
      <formula2>12</formula2>
    </dataValidation>
    <dataValidation sqref="B12" showDropDown="0" showInputMessage="0" showErrorMessage="0" allowBlank="0" error="Use um valor entre 10% e 15%." type="decimal" operator="between">
      <formula1>0.1</formula1>
      <formula2>0.15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showGridLines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1" customWidth="1" min="10" max="10"/>
    <col width="30" customWidth="1" min="11" max="11"/>
    <col width="18" customWidth="1" min="12" max="12"/>
  </cols>
  <sheetData>
    <row r="1">
      <c r="A1" s="1" t="inlineStr">
        <is>
          <t>Controle do teto MEI 2026 e IRPF</t>
        </is>
      </c>
    </row>
    <row r="2">
      <c r="A2" s="2" t="inlineStr">
        <is>
          <t>Lance o faturamento bruto de cada mês (sem descontar custos). Comece pelo mês de abertura do CNPJ.</t>
        </is>
      </c>
    </row>
    <row r="4" ht="42" customHeight="1">
      <c r="A4" s="17" t="inlineStr">
        <is>
          <t>Mês</t>
        </is>
      </c>
      <c r="B4" s="17" t="inlineStr">
        <is>
          <t>Revenda de mercadorias com nota</t>
        </is>
      </c>
      <c r="C4" s="17" t="inlineStr">
        <is>
          <t>Revenda de mercadorias sem nota</t>
        </is>
      </c>
      <c r="D4" s="17" t="inlineStr">
        <is>
          <t>Produtos industrializados com nota</t>
        </is>
      </c>
      <c r="E4" s="17" t="inlineStr">
        <is>
          <t>Produtos industrializados sem nota</t>
        </is>
      </c>
      <c r="F4" s="17" t="inlineStr">
        <is>
          <t>Serviços com nota</t>
        </is>
      </c>
      <c r="G4" s="17" t="inlineStr">
        <is>
          <t>Serviços sem nota</t>
        </is>
      </c>
      <c r="H4" s="17" t="inlineStr">
        <is>
          <t>Total do mês</t>
        </is>
      </c>
      <c r="I4" s="17" t="inlineStr">
        <is>
          <t>Acumulado no ano</t>
        </is>
      </c>
      <c r="J4" s="17" t="inlineStr">
        <is>
          <t>% do limite</t>
        </is>
      </c>
      <c r="K4" s="17" t="inlineStr">
        <is>
          <t>Situação</t>
        </is>
      </c>
      <c r="L4" s="17" t="inlineStr">
        <is>
          <t>Despesas comprovadas do mês</t>
        </is>
      </c>
    </row>
    <row r="5">
      <c r="A5" s="9" t="inlineStr">
        <is>
          <t>Janeiro</t>
        </is>
      </c>
      <c r="B5" s="13" t="n"/>
      <c r="C5" s="13" t="n"/>
      <c r="D5" s="13" t="n"/>
      <c r="E5" s="13" t="n"/>
      <c r="F5" s="13" t="n"/>
      <c r="G5" s="13" t="n"/>
      <c r="H5" s="15">
        <f>SUM(B5:G5)</f>
        <v/>
      </c>
      <c r="I5" s="18">
        <f>SUM($H$5:H5)</f>
        <v/>
      </c>
      <c r="J5" s="19">
        <f>IF(Config!$B$10=0,0,I5/Config!$B$10)</f>
        <v/>
      </c>
      <c r="K5" s="20">
        <f>IF(H5=0,"",IF(I5&gt;Config!$B$11,"ESTOUROU mais de 20%: fale com um contador",IF(I5&gt;Config!$B$10,"Passou do limite (até 20%)",IF(I5&gt;=0.8*Config!$B$10,"Atenção: acima de 80%","Dentro do limite"))))</f>
        <v/>
      </c>
      <c r="L5" s="13" t="n"/>
    </row>
    <row r="6">
      <c r="A6" s="9" t="inlineStr">
        <is>
          <t>Fevereiro</t>
        </is>
      </c>
      <c r="B6" s="13" t="n"/>
      <c r="C6" s="13" t="n"/>
      <c r="D6" s="13" t="n"/>
      <c r="E6" s="13" t="n"/>
      <c r="F6" s="13" t="n"/>
      <c r="G6" s="13" t="n"/>
      <c r="H6" s="15">
        <f>SUM(B6:G6)</f>
        <v/>
      </c>
      <c r="I6" s="18">
        <f>SUM($H$5:H6)</f>
        <v/>
      </c>
      <c r="J6" s="19">
        <f>IF(Config!$B$10=0,0,I6/Config!$B$10)</f>
        <v/>
      </c>
      <c r="K6" s="20">
        <f>IF(H6=0,"",IF(I6&gt;Config!$B$11,"ESTOUROU mais de 20%: fale com um contador",IF(I6&gt;Config!$B$10,"Passou do limite (até 20%)",IF(I6&gt;=0.8*Config!$B$10,"Atenção: acima de 80%","Dentro do limite"))))</f>
        <v/>
      </c>
      <c r="L6" s="13" t="n"/>
    </row>
    <row r="7">
      <c r="A7" s="9" t="inlineStr">
        <is>
          <t>Março</t>
        </is>
      </c>
      <c r="B7" s="13" t="n"/>
      <c r="C7" s="13" t="n"/>
      <c r="D7" s="13" t="n"/>
      <c r="E7" s="13" t="n"/>
      <c r="F7" s="13" t="n"/>
      <c r="G7" s="13" t="n"/>
      <c r="H7" s="15">
        <f>SUM(B7:G7)</f>
        <v/>
      </c>
      <c r="I7" s="18">
        <f>SUM($H$5:H7)</f>
        <v/>
      </c>
      <c r="J7" s="19">
        <f>IF(Config!$B$10=0,0,I7/Config!$B$10)</f>
        <v/>
      </c>
      <c r="K7" s="20">
        <f>IF(H7=0,"",IF(I7&gt;Config!$B$11,"ESTOUROU mais de 20%: fale com um contador",IF(I7&gt;Config!$B$10,"Passou do limite (até 20%)",IF(I7&gt;=0.8*Config!$B$10,"Atenção: acima de 80%","Dentro do limite"))))</f>
        <v/>
      </c>
      <c r="L7" s="13" t="n"/>
    </row>
    <row r="8">
      <c r="A8" s="9" t="inlineStr">
        <is>
          <t>Abril</t>
        </is>
      </c>
      <c r="B8" s="13" t="n"/>
      <c r="C8" s="13" t="n"/>
      <c r="D8" s="13" t="n"/>
      <c r="E8" s="13" t="n"/>
      <c r="F8" s="13" t="n"/>
      <c r="G8" s="13" t="n"/>
      <c r="H8" s="15">
        <f>SUM(B8:G8)</f>
        <v/>
      </c>
      <c r="I8" s="18">
        <f>SUM($H$5:H8)</f>
        <v/>
      </c>
      <c r="J8" s="19">
        <f>IF(Config!$B$10=0,0,I8/Config!$B$10)</f>
        <v/>
      </c>
      <c r="K8" s="20">
        <f>IF(H8=0,"",IF(I8&gt;Config!$B$11,"ESTOUROU mais de 20%: fale com um contador",IF(I8&gt;Config!$B$10,"Passou do limite (até 20%)",IF(I8&gt;=0.8*Config!$B$10,"Atenção: acima de 80%","Dentro do limite"))))</f>
        <v/>
      </c>
      <c r="L8" s="13" t="n"/>
    </row>
    <row r="9">
      <c r="A9" s="9" t="inlineStr">
        <is>
          <t>Maio</t>
        </is>
      </c>
      <c r="B9" s="13" t="n"/>
      <c r="C9" s="13" t="n"/>
      <c r="D9" s="13" t="n"/>
      <c r="E9" s="13" t="n"/>
      <c r="F9" s="13" t="n"/>
      <c r="G9" s="13" t="n"/>
      <c r="H9" s="15">
        <f>SUM(B9:G9)</f>
        <v/>
      </c>
      <c r="I9" s="18">
        <f>SUM($H$5:H9)</f>
        <v/>
      </c>
      <c r="J9" s="19">
        <f>IF(Config!$B$10=0,0,I9/Config!$B$10)</f>
        <v/>
      </c>
      <c r="K9" s="20">
        <f>IF(H9=0,"",IF(I9&gt;Config!$B$11,"ESTOUROU mais de 20%: fale com um contador",IF(I9&gt;Config!$B$10,"Passou do limite (até 20%)",IF(I9&gt;=0.8*Config!$B$10,"Atenção: acima de 80%","Dentro do limite"))))</f>
        <v/>
      </c>
      <c r="L9" s="13" t="n"/>
    </row>
    <row r="10">
      <c r="A10" s="9" t="inlineStr">
        <is>
          <t>Junho</t>
        </is>
      </c>
      <c r="B10" s="13" t="n"/>
      <c r="C10" s="13" t="n"/>
      <c r="D10" s="13" t="n"/>
      <c r="E10" s="13" t="n"/>
      <c r="F10" s="13" t="n"/>
      <c r="G10" s="13" t="n"/>
      <c r="H10" s="15">
        <f>SUM(B10:G10)</f>
        <v/>
      </c>
      <c r="I10" s="18">
        <f>SUM($H$5:H10)</f>
        <v/>
      </c>
      <c r="J10" s="19">
        <f>IF(Config!$B$10=0,0,I10/Config!$B$10)</f>
        <v/>
      </c>
      <c r="K10" s="20">
        <f>IF(H10=0,"",IF(I10&gt;Config!$B$11,"ESTOUROU mais de 20%: fale com um contador",IF(I10&gt;Config!$B$10,"Passou do limite (até 20%)",IF(I10&gt;=0.8*Config!$B$10,"Atenção: acima de 80%","Dentro do limite"))))</f>
        <v/>
      </c>
      <c r="L10" s="13" t="n"/>
    </row>
    <row r="11">
      <c r="A11" s="9" t="inlineStr">
        <is>
          <t>Julho</t>
        </is>
      </c>
      <c r="B11" s="13" t="n"/>
      <c r="C11" s="13" t="n"/>
      <c r="D11" s="13" t="n"/>
      <c r="E11" s="13" t="n"/>
      <c r="F11" s="13" t="n"/>
      <c r="G11" s="13" t="n"/>
      <c r="H11" s="15">
        <f>SUM(B11:G11)</f>
        <v/>
      </c>
      <c r="I11" s="18">
        <f>SUM($H$5:H11)</f>
        <v/>
      </c>
      <c r="J11" s="19">
        <f>IF(Config!$B$10=0,0,I11/Config!$B$10)</f>
        <v/>
      </c>
      <c r="K11" s="20">
        <f>IF(H11=0,"",IF(I11&gt;Config!$B$11,"ESTOUROU mais de 20%: fale com um contador",IF(I11&gt;Config!$B$10,"Passou do limite (até 20%)",IF(I11&gt;=0.8*Config!$B$10,"Atenção: acima de 80%","Dentro do limite"))))</f>
        <v/>
      </c>
      <c r="L11" s="13" t="n"/>
    </row>
    <row r="12">
      <c r="A12" s="9" t="inlineStr">
        <is>
          <t>Agosto</t>
        </is>
      </c>
      <c r="B12" s="13" t="n"/>
      <c r="C12" s="13" t="n"/>
      <c r="D12" s="13" t="n"/>
      <c r="E12" s="13" t="n"/>
      <c r="F12" s="13" t="n"/>
      <c r="G12" s="13" t="n"/>
      <c r="H12" s="15">
        <f>SUM(B12:G12)</f>
        <v/>
      </c>
      <c r="I12" s="18">
        <f>SUM($H$5:H12)</f>
        <v/>
      </c>
      <c r="J12" s="19">
        <f>IF(Config!$B$10=0,0,I12/Config!$B$10)</f>
        <v/>
      </c>
      <c r="K12" s="20">
        <f>IF(H12=0,"",IF(I12&gt;Config!$B$11,"ESTOUROU mais de 20%: fale com um contador",IF(I12&gt;Config!$B$10,"Passou do limite (até 20%)",IF(I12&gt;=0.8*Config!$B$10,"Atenção: acima de 80%","Dentro do limite"))))</f>
        <v/>
      </c>
      <c r="L12" s="13" t="n"/>
    </row>
    <row r="13">
      <c r="A13" s="9" t="inlineStr">
        <is>
          <t>Setembro</t>
        </is>
      </c>
      <c r="B13" s="13" t="n"/>
      <c r="C13" s="13" t="n"/>
      <c r="D13" s="13" t="n"/>
      <c r="E13" s="13" t="n"/>
      <c r="F13" s="13" t="n"/>
      <c r="G13" s="13" t="n"/>
      <c r="H13" s="15">
        <f>SUM(B13:G13)</f>
        <v/>
      </c>
      <c r="I13" s="18">
        <f>SUM($H$5:H13)</f>
        <v/>
      </c>
      <c r="J13" s="19">
        <f>IF(Config!$B$10=0,0,I13/Config!$B$10)</f>
        <v/>
      </c>
      <c r="K13" s="20">
        <f>IF(H13=0,"",IF(I13&gt;Config!$B$11,"ESTOUROU mais de 20%: fale com um contador",IF(I13&gt;Config!$B$10,"Passou do limite (até 20%)",IF(I13&gt;=0.8*Config!$B$10,"Atenção: acima de 80%","Dentro do limite"))))</f>
        <v/>
      </c>
      <c r="L13" s="13" t="n"/>
    </row>
    <row r="14">
      <c r="A14" s="9" t="inlineStr">
        <is>
          <t>Outubro</t>
        </is>
      </c>
      <c r="B14" s="13" t="n"/>
      <c r="C14" s="13" t="n"/>
      <c r="D14" s="13" t="n"/>
      <c r="E14" s="13" t="n"/>
      <c r="F14" s="13" t="n"/>
      <c r="G14" s="13" t="n"/>
      <c r="H14" s="15">
        <f>SUM(B14:G14)</f>
        <v/>
      </c>
      <c r="I14" s="18">
        <f>SUM($H$5:H14)</f>
        <v/>
      </c>
      <c r="J14" s="19">
        <f>IF(Config!$B$10=0,0,I14/Config!$B$10)</f>
        <v/>
      </c>
      <c r="K14" s="20">
        <f>IF(H14=0,"",IF(I14&gt;Config!$B$11,"ESTOUROU mais de 20%: fale com um contador",IF(I14&gt;Config!$B$10,"Passou do limite (até 20%)",IF(I14&gt;=0.8*Config!$B$10,"Atenção: acima de 80%","Dentro do limite"))))</f>
        <v/>
      </c>
      <c r="L14" s="13" t="n"/>
    </row>
    <row r="15">
      <c r="A15" s="9" t="inlineStr">
        <is>
          <t>Novembro</t>
        </is>
      </c>
      <c r="B15" s="13" t="n"/>
      <c r="C15" s="13" t="n"/>
      <c r="D15" s="13" t="n"/>
      <c r="E15" s="13" t="n"/>
      <c r="F15" s="13" t="n"/>
      <c r="G15" s="13" t="n"/>
      <c r="H15" s="15">
        <f>SUM(B15:G15)</f>
        <v/>
      </c>
      <c r="I15" s="18">
        <f>SUM($H$5:H15)</f>
        <v/>
      </c>
      <c r="J15" s="19">
        <f>IF(Config!$B$10=0,0,I15/Config!$B$10)</f>
        <v/>
      </c>
      <c r="K15" s="20">
        <f>IF(H15=0,"",IF(I15&gt;Config!$B$11,"ESTOUROU mais de 20%: fale com um contador",IF(I15&gt;Config!$B$10,"Passou do limite (até 20%)",IF(I15&gt;=0.8*Config!$B$10,"Atenção: acima de 80%","Dentro do limite"))))</f>
        <v/>
      </c>
      <c r="L15" s="13" t="n"/>
    </row>
    <row r="16">
      <c r="A16" s="9" t="inlineStr">
        <is>
          <t>Dezembro</t>
        </is>
      </c>
      <c r="B16" s="13" t="n"/>
      <c r="C16" s="13" t="n"/>
      <c r="D16" s="13" t="n"/>
      <c r="E16" s="13" t="n"/>
      <c r="F16" s="13" t="n"/>
      <c r="G16" s="13" t="n"/>
      <c r="H16" s="15">
        <f>SUM(B16:G16)</f>
        <v/>
      </c>
      <c r="I16" s="18">
        <f>SUM($H$5:H16)</f>
        <v/>
      </c>
      <c r="J16" s="19">
        <f>IF(Config!$B$10=0,0,I16/Config!$B$10)</f>
        <v/>
      </c>
      <c r="K16" s="20">
        <f>IF(H16=0,"",IF(I16&gt;Config!$B$11,"ESTOUROU mais de 20%: fale com um contador",IF(I16&gt;Config!$B$10,"Passou do limite (até 20%)",IF(I16&gt;=0.8*Config!$B$10,"Atenção: acima de 80%","Dentro do limite"))))</f>
        <v/>
      </c>
      <c r="L16" s="13" t="n"/>
    </row>
    <row r="17">
      <c r="A17" s="21" t="inlineStr">
        <is>
          <t>Total 2026</t>
        </is>
      </c>
      <c r="B17" s="22">
        <f>SUM(B5:B16)</f>
        <v/>
      </c>
      <c r="C17" s="22">
        <f>SUM(C5:C16)</f>
        <v/>
      </c>
      <c r="D17" s="22">
        <f>SUM(D5:D16)</f>
        <v/>
      </c>
      <c r="E17" s="22">
        <f>SUM(E5:E16)</f>
        <v/>
      </c>
      <c r="F17" s="22">
        <f>SUM(F5:F16)</f>
        <v/>
      </c>
      <c r="G17" s="22">
        <f>SUM(G5:G16)</f>
        <v/>
      </c>
      <c r="H17" s="22">
        <f>SUM(H5:H16)</f>
        <v/>
      </c>
      <c r="I17" s="22">
        <f>H17</f>
        <v/>
      </c>
      <c r="J17" s="23">
        <f>IF(Config!$B$10=0,0,H17/Config!$B$10)</f>
        <v/>
      </c>
      <c r="K17" s="24">
        <f>IF(H17&gt;Config!$B$11,"ESTOUROU mais de 20%",IF(H17&gt;Config!$B$10,"Passou do limite (até 20%)",IF(H17&gt;=0.8*Config!$B$10,"Atenção: acima de 80%","Dentro do limite")))</f>
        <v/>
      </c>
      <c r="L17" s="22">
        <f>SUM(L5:L16)</f>
        <v/>
      </c>
    </row>
    <row r="19">
      <c r="A19" s="25" t="inlineStr">
        <is>
          <t>Exemplo</t>
        </is>
      </c>
      <c r="B19" s="26" t="n">
        <v>0</v>
      </c>
      <c r="C19" s="26" t="n">
        <v>0</v>
      </c>
      <c r="D19" s="26" t="n">
        <v>0</v>
      </c>
      <c r="E19" s="26" t="n">
        <v>0</v>
      </c>
      <c r="F19" s="26" t="n">
        <v>4200</v>
      </c>
      <c r="G19" s="26" t="n">
        <v>1300</v>
      </c>
      <c r="H19" s="26">
        <f>SUM(B19:G19)</f>
        <v/>
      </c>
      <c r="K19" s="27" t="inlineStr">
        <is>
          <t>Linha de exemplo: não entra nas somas</t>
        </is>
      </c>
      <c r="L19" s="26" t="n">
        <v>1450</v>
      </c>
    </row>
    <row r="22">
      <c r="A22" s="28" t="inlineStr">
        <is>
          <t>Resumo do ano</t>
        </is>
      </c>
    </row>
    <row r="23">
      <c r="A23" s="29" t="inlineStr">
        <is>
          <t>Seu limite em 2026</t>
        </is>
      </c>
      <c r="H23" s="30">
        <f>Config!B10</f>
        <v/>
      </c>
    </row>
    <row r="24">
      <c r="A24" s="29" t="inlineStr">
        <is>
          <t>Ainda pode faturar em 2026</t>
        </is>
      </c>
      <c r="H24" s="18">
        <f>MAX(0,Config!B10-H17)</f>
        <v/>
      </c>
    </row>
    <row r="25">
      <c r="A25" s="29" t="inlineStr">
        <is>
          <t>Último mês com faturamento lançado (1 a 12)</t>
        </is>
      </c>
      <c r="H25" s="31">
        <f>SUMPRODUCT(MAX((H5:H16&gt;0)*(ROW(H5:H16)-4)))</f>
        <v/>
      </c>
    </row>
    <row r="26">
      <c r="A26" s="29" t="inlineStr">
        <is>
          <t>Meses que faltam até dezembro</t>
        </is>
      </c>
      <c r="H26" s="31">
        <f>12-MAX(H25,IF(Config!B8=0,0,Config!B8-1))</f>
        <v/>
      </c>
    </row>
    <row r="27">
      <c r="A27" s="29" t="inlineStr">
        <is>
          <t>Média que ainda cabe por mês até dezembro</t>
        </is>
      </c>
      <c r="H27" s="18">
        <f>IF(H26=0,0,MAX(0,Config!B10-H17)/H26)</f>
        <v/>
      </c>
    </row>
    <row r="29">
      <c r="A29" s="32" t="inlineStr">
        <is>
          <t>IRPF do MEI (sem escrituração contábil)</t>
        </is>
      </c>
    </row>
    <row r="30">
      <c r="A30" s="29" t="inlineStr">
        <is>
          <t>Receita bruta do ano</t>
        </is>
      </c>
      <c r="H30" s="18">
        <f>H17</f>
        <v/>
      </c>
    </row>
    <row r="31">
      <c r="A31" s="29" t="inlineStr">
        <is>
          <t>(−) Despesas comprovadas</t>
        </is>
      </c>
      <c r="H31" s="18">
        <f>L17</f>
        <v/>
      </c>
    </row>
    <row r="32">
      <c r="A32" s="29" t="inlineStr">
        <is>
          <t>Lucro evidenciado</t>
        </is>
      </c>
      <c r="H32" s="18">
        <f>H17-L17</f>
        <v/>
      </c>
    </row>
    <row r="33">
      <c r="A33" s="29" t="inlineStr">
        <is>
          <t>Percentual da parcela isenta (aba Config)</t>
        </is>
      </c>
      <c r="H33" s="33">
        <f>Config!B7</f>
        <v/>
      </c>
    </row>
    <row r="34">
      <c r="A34" s="34" t="inlineStr">
        <is>
          <t>Parcela isenta → Rendimentos Isentos e Não Tributáveis, código 13</t>
        </is>
      </c>
      <c r="H34" s="15">
        <f>IF(H32&lt;=0,0,MIN(H32,H30*H33))</f>
        <v/>
      </c>
    </row>
    <row r="35">
      <c r="A35" s="34" t="inlineStr">
        <is>
          <t>Parcela tributável → Rendimentos Tributáveis Recebidos de PJ</t>
        </is>
      </c>
      <c r="H35" s="15">
        <f>IF(H32&lt;=0,0,H32-H34)</f>
        <v/>
      </c>
    </row>
    <row r="36">
      <c r="A36" s="29" t="inlineStr">
        <is>
          <t>Obrigatoriedade pelos rendimentos do MEI</t>
        </is>
      </c>
      <c r="H36" s="20">
        <f>IF(H35&gt;Config!B14,"Obrigado a declarar","Não obrigado por estes rendimentos")</f>
        <v/>
      </c>
    </row>
    <row r="38">
      <c r="A38" s="14" t="inlineStr">
        <is>
          <t>O lucro acima da parcela isenta é tributável. Com escrituração contábil completa, feita por contador, todo o lucro contábil pode ser isento. A obrigatoriedade usa o critério da aba Config; outras rendas e bens também contam.</t>
        </is>
      </c>
    </row>
  </sheetData>
  <mergeCells count="13">
    <mergeCell ref="A32:G32"/>
    <mergeCell ref="A36:G36"/>
    <mergeCell ref="A27:G27"/>
    <mergeCell ref="A31:G31"/>
    <mergeCell ref="A34:G34"/>
    <mergeCell ref="A35:G35"/>
    <mergeCell ref="A26:G26"/>
    <mergeCell ref="A24:G24"/>
    <mergeCell ref="A30:G30"/>
    <mergeCell ref="A29:G29"/>
    <mergeCell ref="A25:G25"/>
    <mergeCell ref="A33:G33"/>
    <mergeCell ref="A23:G23"/>
  </mergeCells>
  <conditionalFormatting sqref="K5:K17">
    <cfRule type="expression" priority="1" dxfId="0">
      <formula>LEFT(K5,8)="ESTOUROU"</formula>
    </cfRule>
    <cfRule type="expression" priority="2" dxfId="1">
      <formula>LEFT(K5,6)="Passou"</formula>
    </cfRule>
    <cfRule type="expression" priority="3" dxfId="2">
      <formula>LEFT(K5,8)="Atenção:"</formula>
    </cfRule>
    <cfRule type="expression" priority="4" dxfId="3">
      <formula>K5="Dentro do limite"</formula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showGridLines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6" customWidth="1" min="2" max="2"/>
    <col width="20" customWidth="1" min="3" max="3"/>
    <col width="18" customWidth="1" min="4" max="4"/>
    <col width="18" customWidth="1" min="5" max="5"/>
    <col width="16" customWidth="1" min="6" max="6"/>
    <col width="18" customWidth="1" min="7" max="7"/>
    <col width="18" customWidth="1" min="8" max="8"/>
    <col width="28" customWidth="1" min="9" max="9"/>
  </cols>
  <sheetData>
    <row r="1">
      <c r="A1" s="1" t="inlineStr">
        <is>
          <t>Divisor das 3 Contas</t>
        </is>
      </c>
    </row>
    <row r="2">
      <c r="A2" s="2" t="inlineStr">
        <is>
          <t>Lance o que entrou e os custos de cada mês. A planilha separa empresa, reserva e pró-labore.</t>
        </is>
      </c>
    </row>
    <row r="3">
      <c r="A3" s="35">
        <f>CONCATENATE("Caixa de segurança: ",TEXT(Config!B12,"0%")," do lucro (mude na aba Config)")</f>
        <v/>
      </c>
    </row>
    <row r="5" ht="42" customHeight="1">
      <c r="A5" s="17" t="inlineStr">
        <is>
          <t>Mês</t>
        </is>
      </c>
      <c r="B5" s="17" t="inlineStr">
        <is>
          <t>Entrada bruta</t>
        </is>
      </c>
      <c r="C5" s="17" t="inlineStr">
        <is>
          <t>Custos variáveis (mercadoria, material, combustível, taxas)</t>
        </is>
      </c>
      <c r="D5" s="17" t="inlineStr">
        <is>
          <t>Custos fixos (DAS, internet, sistemas)</t>
        </is>
      </c>
      <c r="E5" s="17" t="inlineStr">
        <is>
          <t>Conta 1 · Operacional (fica no CNPJ)</t>
        </is>
      </c>
      <c r="F5" s="17" t="inlineStr">
        <is>
          <t>Lucro do período</t>
        </is>
      </c>
      <c r="G5" s="17" t="inlineStr">
        <is>
          <t>Conta 2 · Caixa de segurança</t>
        </is>
      </c>
      <c r="H5" s="17" t="inlineStr">
        <is>
          <t>Conta 3 · Pró-labore para o CPF</t>
        </is>
      </c>
      <c r="I5" s="17" t="inlineStr">
        <is>
          <t>Situação</t>
        </is>
      </c>
    </row>
    <row r="6">
      <c r="A6" s="9" t="inlineStr">
        <is>
          <t>Janeiro</t>
        </is>
      </c>
      <c r="B6" s="13" t="n"/>
      <c r="C6" s="13" t="n"/>
      <c r="D6" s="13" t="n"/>
      <c r="E6" s="18">
        <f>IF(B6="","",C6+D6)</f>
        <v/>
      </c>
      <c r="F6" s="18">
        <f>IF(B6="","",B6-E6)</f>
        <v/>
      </c>
      <c r="G6" s="18">
        <f>IF(B6="","",MAX(0,F6)*Config!$B$12)</f>
        <v/>
      </c>
      <c r="H6" s="15">
        <f>IF(B6="","",MAX(0,F6)-G6)</f>
        <v/>
      </c>
      <c r="I6" s="20">
        <f>IF(B6="","",IF(F6&lt;0,"Prejuízo: não tire pró-labore","Pode transferir a Conta 3"))</f>
        <v/>
      </c>
    </row>
    <row r="7">
      <c r="A7" s="9" t="inlineStr">
        <is>
          <t>Fevereiro</t>
        </is>
      </c>
      <c r="B7" s="13" t="n"/>
      <c r="C7" s="13" t="n"/>
      <c r="D7" s="13" t="n"/>
      <c r="E7" s="18">
        <f>IF(B7="","",C7+D7)</f>
        <v/>
      </c>
      <c r="F7" s="18">
        <f>IF(B7="","",B7-E7)</f>
        <v/>
      </c>
      <c r="G7" s="18">
        <f>IF(B7="","",MAX(0,F7)*Config!$B$12)</f>
        <v/>
      </c>
      <c r="H7" s="15">
        <f>IF(B7="","",MAX(0,F7)-G7)</f>
        <v/>
      </c>
      <c r="I7" s="20">
        <f>IF(B7="","",IF(F7&lt;0,"Prejuízo: não tire pró-labore","Pode transferir a Conta 3"))</f>
        <v/>
      </c>
    </row>
    <row r="8">
      <c r="A8" s="9" t="inlineStr">
        <is>
          <t>Março</t>
        </is>
      </c>
      <c r="B8" s="13" t="n"/>
      <c r="C8" s="13" t="n"/>
      <c r="D8" s="13" t="n"/>
      <c r="E8" s="18">
        <f>IF(B8="","",C8+D8)</f>
        <v/>
      </c>
      <c r="F8" s="18">
        <f>IF(B8="","",B8-E8)</f>
        <v/>
      </c>
      <c r="G8" s="18">
        <f>IF(B8="","",MAX(0,F8)*Config!$B$12)</f>
        <v/>
      </c>
      <c r="H8" s="15">
        <f>IF(B8="","",MAX(0,F8)-G8)</f>
        <v/>
      </c>
      <c r="I8" s="20">
        <f>IF(B8="","",IF(F8&lt;0,"Prejuízo: não tire pró-labore","Pode transferir a Conta 3"))</f>
        <v/>
      </c>
    </row>
    <row r="9">
      <c r="A9" s="9" t="inlineStr">
        <is>
          <t>Abril</t>
        </is>
      </c>
      <c r="B9" s="13" t="n"/>
      <c r="C9" s="13" t="n"/>
      <c r="D9" s="13" t="n"/>
      <c r="E9" s="18">
        <f>IF(B9="","",C9+D9)</f>
        <v/>
      </c>
      <c r="F9" s="18">
        <f>IF(B9="","",B9-E9)</f>
        <v/>
      </c>
      <c r="G9" s="18">
        <f>IF(B9="","",MAX(0,F9)*Config!$B$12)</f>
        <v/>
      </c>
      <c r="H9" s="15">
        <f>IF(B9="","",MAX(0,F9)-G9)</f>
        <v/>
      </c>
      <c r="I9" s="20">
        <f>IF(B9="","",IF(F9&lt;0,"Prejuízo: não tire pró-labore","Pode transferir a Conta 3"))</f>
        <v/>
      </c>
    </row>
    <row r="10">
      <c r="A10" s="9" t="inlineStr">
        <is>
          <t>Maio</t>
        </is>
      </c>
      <c r="B10" s="13" t="n"/>
      <c r="C10" s="13" t="n"/>
      <c r="D10" s="13" t="n"/>
      <c r="E10" s="18">
        <f>IF(B10="","",C10+D10)</f>
        <v/>
      </c>
      <c r="F10" s="18">
        <f>IF(B10="","",B10-E10)</f>
        <v/>
      </c>
      <c r="G10" s="18">
        <f>IF(B10="","",MAX(0,F10)*Config!$B$12)</f>
        <v/>
      </c>
      <c r="H10" s="15">
        <f>IF(B10="","",MAX(0,F10)-G10)</f>
        <v/>
      </c>
      <c r="I10" s="20">
        <f>IF(B10="","",IF(F10&lt;0,"Prejuízo: não tire pró-labore","Pode transferir a Conta 3"))</f>
        <v/>
      </c>
    </row>
    <row r="11">
      <c r="A11" s="9" t="inlineStr">
        <is>
          <t>Junho</t>
        </is>
      </c>
      <c r="B11" s="13" t="n"/>
      <c r="C11" s="13" t="n"/>
      <c r="D11" s="13" t="n"/>
      <c r="E11" s="18">
        <f>IF(B11="","",C11+D11)</f>
        <v/>
      </c>
      <c r="F11" s="18">
        <f>IF(B11="","",B11-E11)</f>
        <v/>
      </c>
      <c r="G11" s="18">
        <f>IF(B11="","",MAX(0,F11)*Config!$B$12)</f>
        <v/>
      </c>
      <c r="H11" s="15">
        <f>IF(B11="","",MAX(0,F11)-G11)</f>
        <v/>
      </c>
      <c r="I11" s="20">
        <f>IF(B11="","",IF(F11&lt;0,"Prejuízo: não tire pró-labore","Pode transferir a Conta 3"))</f>
        <v/>
      </c>
    </row>
    <row r="12">
      <c r="A12" s="9" t="inlineStr">
        <is>
          <t>Julho</t>
        </is>
      </c>
      <c r="B12" s="13" t="n"/>
      <c r="C12" s="13" t="n"/>
      <c r="D12" s="13" t="n"/>
      <c r="E12" s="18">
        <f>IF(B12="","",C12+D12)</f>
        <v/>
      </c>
      <c r="F12" s="18">
        <f>IF(B12="","",B12-E12)</f>
        <v/>
      </c>
      <c r="G12" s="18">
        <f>IF(B12="","",MAX(0,F12)*Config!$B$12)</f>
        <v/>
      </c>
      <c r="H12" s="15">
        <f>IF(B12="","",MAX(0,F12)-G12)</f>
        <v/>
      </c>
      <c r="I12" s="20">
        <f>IF(B12="","",IF(F12&lt;0,"Prejuízo: não tire pró-labore","Pode transferir a Conta 3"))</f>
        <v/>
      </c>
    </row>
    <row r="13">
      <c r="A13" s="9" t="inlineStr">
        <is>
          <t>Agosto</t>
        </is>
      </c>
      <c r="B13" s="13" t="n"/>
      <c r="C13" s="13" t="n"/>
      <c r="D13" s="13" t="n"/>
      <c r="E13" s="18">
        <f>IF(B13="","",C13+D13)</f>
        <v/>
      </c>
      <c r="F13" s="18">
        <f>IF(B13="","",B13-E13)</f>
        <v/>
      </c>
      <c r="G13" s="18">
        <f>IF(B13="","",MAX(0,F13)*Config!$B$12)</f>
        <v/>
      </c>
      <c r="H13" s="15">
        <f>IF(B13="","",MAX(0,F13)-G13)</f>
        <v/>
      </c>
      <c r="I13" s="20">
        <f>IF(B13="","",IF(F13&lt;0,"Prejuízo: não tire pró-labore","Pode transferir a Conta 3"))</f>
        <v/>
      </c>
    </row>
    <row r="14">
      <c r="A14" s="9" t="inlineStr">
        <is>
          <t>Setembro</t>
        </is>
      </c>
      <c r="B14" s="13" t="n"/>
      <c r="C14" s="13" t="n"/>
      <c r="D14" s="13" t="n"/>
      <c r="E14" s="18">
        <f>IF(B14="","",C14+D14)</f>
        <v/>
      </c>
      <c r="F14" s="18">
        <f>IF(B14="","",B14-E14)</f>
        <v/>
      </c>
      <c r="G14" s="18">
        <f>IF(B14="","",MAX(0,F14)*Config!$B$12)</f>
        <v/>
      </c>
      <c r="H14" s="15">
        <f>IF(B14="","",MAX(0,F14)-G14)</f>
        <v/>
      </c>
      <c r="I14" s="20">
        <f>IF(B14="","",IF(F14&lt;0,"Prejuízo: não tire pró-labore","Pode transferir a Conta 3"))</f>
        <v/>
      </c>
    </row>
    <row r="15">
      <c r="A15" s="9" t="inlineStr">
        <is>
          <t>Outubro</t>
        </is>
      </c>
      <c r="B15" s="13" t="n"/>
      <c r="C15" s="13" t="n"/>
      <c r="D15" s="13" t="n"/>
      <c r="E15" s="18">
        <f>IF(B15="","",C15+D15)</f>
        <v/>
      </c>
      <c r="F15" s="18">
        <f>IF(B15="","",B15-E15)</f>
        <v/>
      </c>
      <c r="G15" s="18">
        <f>IF(B15="","",MAX(0,F15)*Config!$B$12)</f>
        <v/>
      </c>
      <c r="H15" s="15">
        <f>IF(B15="","",MAX(0,F15)-G15)</f>
        <v/>
      </c>
      <c r="I15" s="20">
        <f>IF(B15="","",IF(F15&lt;0,"Prejuízo: não tire pró-labore","Pode transferir a Conta 3"))</f>
        <v/>
      </c>
    </row>
    <row r="16">
      <c r="A16" s="9" t="inlineStr">
        <is>
          <t>Novembro</t>
        </is>
      </c>
      <c r="B16" s="13" t="n"/>
      <c r="C16" s="13" t="n"/>
      <c r="D16" s="13" t="n"/>
      <c r="E16" s="18">
        <f>IF(B16="","",C16+D16)</f>
        <v/>
      </c>
      <c r="F16" s="18">
        <f>IF(B16="","",B16-E16)</f>
        <v/>
      </c>
      <c r="G16" s="18">
        <f>IF(B16="","",MAX(0,F16)*Config!$B$12)</f>
        <v/>
      </c>
      <c r="H16" s="15">
        <f>IF(B16="","",MAX(0,F16)-G16)</f>
        <v/>
      </c>
      <c r="I16" s="20">
        <f>IF(B16="","",IF(F16&lt;0,"Prejuízo: não tire pró-labore","Pode transferir a Conta 3"))</f>
        <v/>
      </c>
    </row>
    <row r="17">
      <c r="A17" s="9" t="inlineStr">
        <is>
          <t>Dezembro</t>
        </is>
      </c>
      <c r="B17" s="13" t="n"/>
      <c r="C17" s="13" t="n"/>
      <c r="D17" s="13" t="n"/>
      <c r="E17" s="18">
        <f>IF(B17="","",C17+D17)</f>
        <v/>
      </c>
      <c r="F17" s="18">
        <f>IF(B17="","",B17-E17)</f>
        <v/>
      </c>
      <c r="G17" s="18">
        <f>IF(B17="","",MAX(0,F17)*Config!$B$12)</f>
        <v/>
      </c>
      <c r="H17" s="15">
        <f>IF(B17="","",MAX(0,F17)-G17)</f>
        <v/>
      </c>
      <c r="I17" s="20">
        <f>IF(B17="","",IF(F17&lt;0,"Prejuízo: não tire pró-labore","Pode transferir a Conta 3"))</f>
        <v/>
      </c>
    </row>
    <row r="18">
      <c r="A18" s="21" t="inlineStr">
        <is>
          <t>Total</t>
        </is>
      </c>
      <c r="B18" s="22">
        <f>SUM(B6:B17)</f>
        <v/>
      </c>
      <c r="C18" s="22">
        <f>SUM(C6:C17)</f>
        <v/>
      </c>
      <c r="D18" s="22">
        <f>SUM(D6:D17)</f>
        <v/>
      </c>
      <c r="E18" s="22">
        <f>SUM(E6:E17)</f>
        <v/>
      </c>
      <c r="F18" s="22">
        <f>SUM(F6:F17)</f>
        <v/>
      </c>
      <c r="G18" s="22">
        <f>SUM(G6:G17)</f>
        <v/>
      </c>
      <c r="H18" s="22">
        <f>SUM(H6:H17)</f>
        <v/>
      </c>
      <c r="I18" s="36" t="n"/>
    </row>
    <row r="20">
      <c r="A20" s="25" t="inlineStr">
        <is>
          <t>Exemplo</t>
        </is>
      </c>
      <c r="B20" s="26" t="n">
        <v>6500</v>
      </c>
      <c r="C20" s="26" t="n">
        <v>1500</v>
      </c>
      <c r="D20" s="26" t="n">
        <v>500</v>
      </c>
      <c r="E20" s="26">
        <f>C20+D20</f>
        <v/>
      </c>
      <c r="F20" s="26">
        <f>B20-E20</f>
        <v/>
      </c>
      <c r="G20" s="26">
        <f>MAX(0,F20)*Config!$B$12</f>
        <v/>
      </c>
      <c r="H20" s="26">
        <f>MAX(0,F20)-G20</f>
        <v/>
      </c>
      <c r="I20" s="27" t="inlineStr">
        <is>
          <t>Linha de exemplo: não entra nas somas</t>
        </is>
      </c>
    </row>
  </sheetData>
  <conditionalFormatting sqref="I6:I17">
    <cfRule type="expression" priority="1" dxfId="0">
      <formula>LEFT(I6,8)="Prejuízo"</formula>
    </cfRule>
    <cfRule type="expression" priority="2" dxfId="3">
      <formula>LEFT(I6,4)="Pode"</formula>
    </cfRule>
  </conditionalFormatting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J60"/>
  <sheetViews>
    <sheetView showGridLines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20" customWidth="1" min="4" max="4"/>
    <col width="18" customWidth="1" min="5" max="5"/>
    <col width="18" customWidth="1" min="6" max="6"/>
    <col width="16" customWidth="1" min="7" max="7"/>
    <col width="18" customWidth="1" min="8" max="8"/>
    <col width="18" customWidth="1" min="9" max="9"/>
    <col width="28" customWidth="1" min="10" max="10"/>
  </cols>
  <sheetData>
    <row r="1">
      <c r="A1" s="1" t="inlineStr">
        <is>
          <t>Divisor das 3 Contas</t>
        </is>
      </c>
    </row>
    <row r="2">
      <c r="A2" s="2" t="inlineStr">
        <is>
          <t>Para quem recebe por dia ou por semana. A semana 1 começa na segunda, 05/01/2026; lance os dias 01 a 04/01 junto com ela.</t>
        </is>
      </c>
    </row>
    <row r="3">
      <c r="A3" s="35">
        <f>CONCATENATE("Caixa de segurança: ",TEXT(Config!B12,"0%")," do lucro (mude na aba Config)")</f>
        <v/>
      </c>
    </row>
    <row r="5" ht="42" customHeight="1">
      <c r="A5" s="17" t="inlineStr">
        <is>
          <t>Semana</t>
        </is>
      </c>
      <c r="B5" s="17" t="inlineStr">
        <is>
          <t>Início da semana</t>
        </is>
      </c>
      <c r="C5" s="17" t="inlineStr">
        <is>
          <t>Entrada bruta</t>
        </is>
      </c>
      <c r="D5" s="17" t="inlineStr">
        <is>
          <t>Custos variáveis (mercadoria, material, combustível, taxas)</t>
        </is>
      </c>
      <c r="E5" s="17" t="inlineStr">
        <is>
          <t>Custos fixos (DAS, internet, sistemas)</t>
        </is>
      </c>
      <c r="F5" s="17" t="inlineStr">
        <is>
          <t>Conta 1 · Operacional (fica no CNPJ)</t>
        </is>
      </c>
      <c r="G5" s="17" t="inlineStr">
        <is>
          <t>Lucro do período</t>
        </is>
      </c>
      <c r="H5" s="17" t="inlineStr">
        <is>
          <t>Conta 2 · Caixa de segurança</t>
        </is>
      </c>
      <c r="I5" s="17" t="inlineStr">
        <is>
          <t>Conta 3 · Pró-labore para o CPF</t>
        </is>
      </c>
      <c r="J5" s="17" t="inlineStr">
        <is>
          <t>Situação</t>
        </is>
      </c>
    </row>
    <row r="6">
      <c r="A6" s="9" t="inlineStr">
        <is>
          <t>Semana 1</t>
        </is>
      </c>
      <c r="B6" s="37">
        <f>DATE(2026,1,5)+7*0</f>
        <v/>
      </c>
      <c r="C6" s="13" t="n"/>
      <c r="D6" s="13" t="n"/>
      <c r="E6" s="13" t="n"/>
      <c r="F6" s="18">
        <f>IF(C6="","",D6+E6)</f>
        <v/>
      </c>
      <c r="G6" s="18">
        <f>IF(C6="","",C6-F6)</f>
        <v/>
      </c>
      <c r="H6" s="18">
        <f>IF(C6="","",MAX(0,G6)*Config!$B$12)</f>
        <v/>
      </c>
      <c r="I6" s="15">
        <f>IF(C6="","",MAX(0,G6)-H6)</f>
        <v/>
      </c>
      <c r="J6" s="20">
        <f>IF(C6="","",IF(G6&lt;0,"Prejuízo: não tire pró-labore","Pode transferir a Conta 3"))</f>
        <v/>
      </c>
    </row>
    <row r="7">
      <c r="A7" s="9" t="inlineStr">
        <is>
          <t>Semana 2</t>
        </is>
      </c>
      <c r="B7" s="37">
        <f>DATE(2026,1,5)+7*1</f>
        <v/>
      </c>
      <c r="C7" s="13" t="n"/>
      <c r="D7" s="13" t="n"/>
      <c r="E7" s="13" t="n"/>
      <c r="F7" s="18">
        <f>IF(C7="","",D7+E7)</f>
        <v/>
      </c>
      <c r="G7" s="18">
        <f>IF(C7="","",C7-F7)</f>
        <v/>
      </c>
      <c r="H7" s="18">
        <f>IF(C7="","",MAX(0,G7)*Config!$B$12)</f>
        <v/>
      </c>
      <c r="I7" s="15">
        <f>IF(C7="","",MAX(0,G7)-H7)</f>
        <v/>
      </c>
      <c r="J7" s="20">
        <f>IF(C7="","",IF(G7&lt;0,"Prejuízo: não tire pró-labore","Pode transferir a Conta 3"))</f>
        <v/>
      </c>
    </row>
    <row r="8">
      <c r="A8" s="9" t="inlineStr">
        <is>
          <t>Semana 3</t>
        </is>
      </c>
      <c r="B8" s="37">
        <f>DATE(2026,1,5)+7*2</f>
        <v/>
      </c>
      <c r="C8" s="13" t="n"/>
      <c r="D8" s="13" t="n"/>
      <c r="E8" s="13" t="n"/>
      <c r="F8" s="18">
        <f>IF(C8="","",D8+E8)</f>
        <v/>
      </c>
      <c r="G8" s="18">
        <f>IF(C8="","",C8-F8)</f>
        <v/>
      </c>
      <c r="H8" s="18">
        <f>IF(C8="","",MAX(0,G8)*Config!$B$12)</f>
        <v/>
      </c>
      <c r="I8" s="15">
        <f>IF(C8="","",MAX(0,G8)-H8)</f>
        <v/>
      </c>
      <c r="J8" s="20">
        <f>IF(C8="","",IF(G8&lt;0,"Prejuízo: não tire pró-labore","Pode transferir a Conta 3"))</f>
        <v/>
      </c>
    </row>
    <row r="9">
      <c r="A9" s="9" t="inlineStr">
        <is>
          <t>Semana 4</t>
        </is>
      </c>
      <c r="B9" s="37">
        <f>DATE(2026,1,5)+7*3</f>
        <v/>
      </c>
      <c r="C9" s="13" t="n"/>
      <c r="D9" s="13" t="n"/>
      <c r="E9" s="13" t="n"/>
      <c r="F9" s="18">
        <f>IF(C9="","",D9+E9)</f>
        <v/>
      </c>
      <c r="G9" s="18">
        <f>IF(C9="","",C9-F9)</f>
        <v/>
      </c>
      <c r="H9" s="18">
        <f>IF(C9="","",MAX(0,G9)*Config!$B$12)</f>
        <v/>
      </c>
      <c r="I9" s="15">
        <f>IF(C9="","",MAX(0,G9)-H9)</f>
        <v/>
      </c>
      <c r="J9" s="20">
        <f>IF(C9="","",IF(G9&lt;0,"Prejuízo: não tire pró-labore","Pode transferir a Conta 3"))</f>
        <v/>
      </c>
    </row>
    <row r="10">
      <c r="A10" s="9" t="inlineStr">
        <is>
          <t>Semana 5</t>
        </is>
      </c>
      <c r="B10" s="37">
        <f>DATE(2026,1,5)+7*4</f>
        <v/>
      </c>
      <c r="C10" s="13" t="n"/>
      <c r="D10" s="13" t="n"/>
      <c r="E10" s="13" t="n"/>
      <c r="F10" s="18">
        <f>IF(C10="","",D10+E10)</f>
        <v/>
      </c>
      <c r="G10" s="18">
        <f>IF(C10="","",C10-F10)</f>
        <v/>
      </c>
      <c r="H10" s="18">
        <f>IF(C10="","",MAX(0,G10)*Config!$B$12)</f>
        <v/>
      </c>
      <c r="I10" s="15">
        <f>IF(C10="","",MAX(0,G10)-H10)</f>
        <v/>
      </c>
      <c r="J10" s="20">
        <f>IF(C10="","",IF(G10&lt;0,"Prejuízo: não tire pró-labore","Pode transferir a Conta 3"))</f>
        <v/>
      </c>
    </row>
    <row r="11">
      <c r="A11" s="9" t="inlineStr">
        <is>
          <t>Semana 6</t>
        </is>
      </c>
      <c r="B11" s="37">
        <f>DATE(2026,1,5)+7*5</f>
        <v/>
      </c>
      <c r="C11" s="13" t="n"/>
      <c r="D11" s="13" t="n"/>
      <c r="E11" s="13" t="n"/>
      <c r="F11" s="18">
        <f>IF(C11="","",D11+E11)</f>
        <v/>
      </c>
      <c r="G11" s="18">
        <f>IF(C11="","",C11-F11)</f>
        <v/>
      </c>
      <c r="H11" s="18">
        <f>IF(C11="","",MAX(0,G11)*Config!$B$12)</f>
        <v/>
      </c>
      <c r="I11" s="15">
        <f>IF(C11="","",MAX(0,G11)-H11)</f>
        <v/>
      </c>
      <c r="J11" s="20">
        <f>IF(C11="","",IF(G11&lt;0,"Prejuízo: não tire pró-labore","Pode transferir a Conta 3"))</f>
        <v/>
      </c>
    </row>
    <row r="12">
      <c r="A12" s="9" t="inlineStr">
        <is>
          <t>Semana 7</t>
        </is>
      </c>
      <c r="B12" s="37">
        <f>DATE(2026,1,5)+7*6</f>
        <v/>
      </c>
      <c r="C12" s="13" t="n"/>
      <c r="D12" s="13" t="n"/>
      <c r="E12" s="13" t="n"/>
      <c r="F12" s="18">
        <f>IF(C12="","",D12+E12)</f>
        <v/>
      </c>
      <c r="G12" s="18">
        <f>IF(C12="","",C12-F12)</f>
        <v/>
      </c>
      <c r="H12" s="18">
        <f>IF(C12="","",MAX(0,G12)*Config!$B$12)</f>
        <v/>
      </c>
      <c r="I12" s="15">
        <f>IF(C12="","",MAX(0,G12)-H12)</f>
        <v/>
      </c>
      <c r="J12" s="20">
        <f>IF(C12="","",IF(G12&lt;0,"Prejuízo: não tire pró-labore","Pode transferir a Conta 3"))</f>
        <v/>
      </c>
    </row>
    <row r="13">
      <c r="A13" s="9" t="inlineStr">
        <is>
          <t>Semana 8</t>
        </is>
      </c>
      <c r="B13" s="37">
        <f>DATE(2026,1,5)+7*7</f>
        <v/>
      </c>
      <c r="C13" s="13" t="n"/>
      <c r="D13" s="13" t="n"/>
      <c r="E13" s="13" t="n"/>
      <c r="F13" s="18">
        <f>IF(C13="","",D13+E13)</f>
        <v/>
      </c>
      <c r="G13" s="18">
        <f>IF(C13="","",C13-F13)</f>
        <v/>
      </c>
      <c r="H13" s="18">
        <f>IF(C13="","",MAX(0,G13)*Config!$B$12)</f>
        <v/>
      </c>
      <c r="I13" s="15">
        <f>IF(C13="","",MAX(0,G13)-H13)</f>
        <v/>
      </c>
      <c r="J13" s="20">
        <f>IF(C13="","",IF(G13&lt;0,"Prejuízo: não tire pró-labore","Pode transferir a Conta 3"))</f>
        <v/>
      </c>
    </row>
    <row r="14">
      <c r="A14" s="9" t="inlineStr">
        <is>
          <t>Semana 9</t>
        </is>
      </c>
      <c r="B14" s="37">
        <f>DATE(2026,1,5)+7*8</f>
        <v/>
      </c>
      <c r="C14" s="13" t="n"/>
      <c r="D14" s="13" t="n"/>
      <c r="E14" s="13" t="n"/>
      <c r="F14" s="18">
        <f>IF(C14="","",D14+E14)</f>
        <v/>
      </c>
      <c r="G14" s="18">
        <f>IF(C14="","",C14-F14)</f>
        <v/>
      </c>
      <c r="H14" s="18">
        <f>IF(C14="","",MAX(0,G14)*Config!$B$12)</f>
        <v/>
      </c>
      <c r="I14" s="15">
        <f>IF(C14="","",MAX(0,G14)-H14)</f>
        <v/>
      </c>
      <c r="J14" s="20">
        <f>IF(C14="","",IF(G14&lt;0,"Prejuízo: não tire pró-labore","Pode transferir a Conta 3"))</f>
        <v/>
      </c>
    </row>
    <row r="15">
      <c r="A15" s="9" t="inlineStr">
        <is>
          <t>Semana 10</t>
        </is>
      </c>
      <c r="B15" s="37">
        <f>DATE(2026,1,5)+7*9</f>
        <v/>
      </c>
      <c r="C15" s="13" t="n"/>
      <c r="D15" s="13" t="n"/>
      <c r="E15" s="13" t="n"/>
      <c r="F15" s="18">
        <f>IF(C15="","",D15+E15)</f>
        <v/>
      </c>
      <c r="G15" s="18">
        <f>IF(C15="","",C15-F15)</f>
        <v/>
      </c>
      <c r="H15" s="18">
        <f>IF(C15="","",MAX(0,G15)*Config!$B$12)</f>
        <v/>
      </c>
      <c r="I15" s="15">
        <f>IF(C15="","",MAX(0,G15)-H15)</f>
        <v/>
      </c>
      <c r="J15" s="20">
        <f>IF(C15="","",IF(G15&lt;0,"Prejuízo: não tire pró-labore","Pode transferir a Conta 3"))</f>
        <v/>
      </c>
    </row>
    <row r="16">
      <c r="A16" s="9" t="inlineStr">
        <is>
          <t>Semana 11</t>
        </is>
      </c>
      <c r="B16" s="37">
        <f>DATE(2026,1,5)+7*10</f>
        <v/>
      </c>
      <c r="C16" s="13" t="n"/>
      <c r="D16" s="13" t="n"/>
      <c r="E16" s="13" t="n"/>
      <c r="F16" s="18">
        <f>IF(C16="","",D16+E16)</f>
        <v/>
      </c>
      <c r="G16" s="18">
        <f>IF(C16="","",C16-F16)</f>
        <v/>
      </c>
      <c r="H16" s="18">
        <f>IF(C16="","",MAX(0,G16)*Config!$B$12)</f>
        <v/>
      </c>
      <c r="I16" s="15">
        <f>IF(C16="","",MAX(0,G16)-H16)</f>
        <v/>
      </c>
      <c r="J16" s="20">
        <f>IF(C16="","",IF(G16&lt;0,"Prejuízo: não tire pró-labore","Pode transferir a Conta 3"))</f>
        <v/>
      </c>
    </row>
    <row r="17">
      <c r="A17" s="9" t="inlineStr">
        <is>
          <t>Semana 12</t>
        </is>
      </c>
      <c r="B17" s="37">
        <f>DATE(2026,1,5)+7*11</f>
        <v/>
      </c>
      <c r="C17" s="13" t="n"/>
      <c r="D17" s="13" t="n"/>
      <c r="E17" s="13" t="n"/>
      <c r="F17" s="18">
        <f>IF(C17="","",D17+E17)</f>
        <v/>
      </c>
      <c r="G17" s="18">
        <f>IF(C17="","",C17-F17)</f>
        <v/>
      </c>
      <c r="H17" s="18">
        <f>IF(C17="","",MAX(0,G17)*Config!$B$12)</f>
        <v/>
      </c>
      <c r="I17" s="15">
        <f>IF(C17="","",MAX(0,G17)-H17)</f>
        <v/>
      </c>
      <c r="J17" s="20">
        <f>IF(C17="","",IF(G17&lt;0,"Prejuízo: não tire pró-labore","Pode transferir a Conta 3"))</f>
        <v/>
      </c>
    </row>
    <row r="18">
      <c r="A18" s="9" t="inlineStr">
        <is>
          <t>Semana 13</t>
        </is>
      </c>
      <c r="B18" s="37">
        <f>DATE(2026,1,5)+7*12</f>
        <v/>
      </c>
      <c r="C18" s="13" t="n"/>
      <c r="D18" s="13" t="n"/>
      <c r="E18" s="13" t="n"/>
      <c r="F18" s="18">
        <f>IF(C18="","",D18+E18)</f>
        <v/>
      </c>
      <c r="G18" s="18">
        <f>IF(C18="","",C18-F18)</f>
        <v/>
      </c>
      <c r="H18" s="18">
        <f>IF(C18="","",MAX(0,G18)*Config!$B$12)</f>
        <v/>
      </c>
      <c r="I18" s="15">
        <f>IF(C18="","",MAX(0,G18)-H18)</f>
        <v/>
      </c>
      <c r="J18" s="20">
        <f>IF(C18="","",IF(G18&lt;0,"Prejuízo: não tire pró-labore","Pode transferir a Conta 3"))</f>
        <v/>
      </c>
    </row>
    <row r="19">
      <c r="A19" s="9" t="inlineStr">
        <is>
          <t>Semana 14</t>
        </is>
      </c>
      <c r="B19" s="37">
        <f>DATE(2026,1,5)+7*13</f>
        <v/>
      </c>
      <c r="C19" s="13" t="n"/>
      <c r="D19" s="13" t="n"/>
      <c r="E19" s="13" t="n"/>
      <c r="F19" s="18">
        <f>IF(C19="","",D19+E19)</f>
        <v/>
      </c>
      <c r="G19" s="18">
        <f>IF(C19="","",C19-F19)</f>
        <v/>
      </c>
      <c r="H19" s="18">
        <f>IF(C19="","",MAX(0,G19)*Config!$B$12)</f>
        <v/>
      </c>
      <c r="I19" s="15">
        <f>IF(C19="","",MAX(0,G19)-H19)</f>
        <v/>
      </c>
      <c r="J19" s="20">
        <f>IF(C19="","",IF(G19&lt;0,"Prejuízo: não tire pró-labore","Pode transferir a Conta 3"))</f>
        <v/>
      </c>
    </row>
    <row r="20">
      <c r="A20" s="9" t="inlineStr">
        <is>
          <t>Semana 15</t>
        </is>
      </c>
      <c r="B20" s="37">
        <f>DATE(2026,1,5)+7*14</f>
        <v/>
      </c>
      <c r="C20" s="13" t="n"/>
      <c r="D20" s="13" t="n"/>
      <c r="E20" s="13" t="n"/>
      <c r="F20" s="18">
        <f>IF(C20="","",D20+E20)</f>
        <v/>
      </c>
      <c r="G20" s="18">
        <f>IF(C20="","",C20-F20)</f>
        <v/>
      </c>
      <c r="H20" s="18">
        <f>IF(C20="","",MAX(0,G20)*Config!$B$12)</f>
        <v/>
      </c>
      <c r="I20" s="15">
        <f>IF(C20="","",MAX(0,G20)-H20)</f>
        <v/>
      </c>
      <c r="J20" s="20">
        <f>IF(C20="","",IF(G20&lt;0,"Prejuízo: não tire pró-labore","Pode transferir a Conta 3"))</f>
        <v/>
      </c>
    </row>
    <row r="21">
      <c r="A21" s="9" t="inlineStr">
        <is>
          <t>Semana 16</t>
        </is>
      </c>
      <c r="B21" s="37">
        <f>DATE(2026,1,5)+7*15</f>
        <v/>
      </c>
      <c r="C21" s="13" t="n"/>
      <c r="D21" s="13" t="n"/>
      <c r="E21" s="13" t="n"/>
      <c r="F21" s="18">
        <f>IF(C21="","",D21+E21)</f>
        <v/>
      </c>
      <c r="G21" s="18">
        <f>IF(C21="","",C21-F21)</f>
        <v/>
      </c>
      <c r="H21" s="18">
        <f>IF(C21="","",MAX(0,G21)*Config!$B$12)</f>
        <v/>
      </c>
      <c r="I21" s="15">
        <f>IF(C21="","",MAX(0,G21)-H21)</f>
        <v/>
      </c>
      <c r="J21" s="20">
        <f>IF(C21="","",IF(G21&lt;0,"Prejuízo: não tire pró-labore","Pode transferir a Conta 3"))</f>
        <v/>
      </c>
    </row>
    <row r="22">
      <c r="A22" s="9" t="inlineStr">
        <is>
          <t>Semana 17</t>
        </is>
      </c>
      <c r="B22" s="37">
        <f>DATE(2026,1,5)+7*16</f>
        <v/>
      </c>
      <c r="C22" s="13" t="n"/>
      <c r="D22" s="13" t="n"/>
      <c r="E22" s="13" t="n"/>
      <c r="F22" s="18">
        <f>IF(C22="","",D22+E22)</f>
        <v/>
      </c>
      <c r="G22" s="18">
        <f>IF(C22="","",C22-F22)</f>
        <v/>
      </c>
      <c r="H22" s="18">
        <f>IF(C22="","",MAX(0,G22)*Config!$B$12)</f>
        <v/>
      </c>
      <c r="I22" s="15">
        <f>IF(C22="","",MAX(0,G22)-H22)</f>
        <v/>
      </c>
      <c r="J22" s="20">
        <f>IF(C22="","",IF(G22&lt;0,"Prejuízo: não tire pró-labore","Pode transferir a Conta 3"))</f>
        <v/>
      </c>
    </row>
    <row r="23">
      <c r="A23" s="9" t="inlineStr">
        <is>
          <t>Semana 18</t>
        </is>
      </c>
      <c r="B23" s="37">
        <f>DATE(2026,1,5)+7*17</f>
        <v/>
      </c>
      <c r="C23" s="13" t="n"/>
      <c r="D23" s="13" t="n"/>
      <c r="E23" s="13" t="n"/>
      <c r="F23" s="18">
        <f>IF(C23="","",D23+E23)</f>
        <v/>
      </c>
      <c r="G23" s="18">
        <f>IF(C23="","",C23-F23)</f>
        <v/>
      </c>
      <c r="H23" s="18">
        <f>IF(C23="","",MAX(0,G23)*Config!$B$12)</f>
        <v/>
      </c>
      <c r="I23" s="15">
        <f>IF(C23="","",MAX(0,G23)-H23)</f>
        <v/>
      </c>
      <c r="J23" s="20">
        <f>IF(C23="","",IF(G23&lt;0,"Prejuízo: não tire pró-labore","Pode transferir a Conta 3"))</f>
        <v/>
      </c>
    </row>
    <row r="24">
      <c r="A24" s="9" t="inlineStr">
        <is>
          <t>Semana 19</t>
        </is>
      </c>
      <c r="B24" s="37">
        <f>DATE(2026,1,5)+7*18</f>
        <v/>
      </c>
      <c r="C24" s="13" t="n"/>
      <c r="D24" s="13" t="n"/>
      <c r="E24" s="13" t="n"/>
      <c r="F24" s="18">
        <f>IF(C24="","",D24+E24)</f>
        <v/>
      </c>
      <c r="G24" s="18">
        <f>IF(C24="","",C24-F24)</f>
        <v/>
      </c>
      <c r="H24" s="18">
        <f>IF(C24="","",MAX(0,G24)*Config!$B$12)</f>
        <v/>
      </c>
      <c r="I24" s="15">
        <f>IF(C24="","",MAX(0,G24)-H24)</f>
        <v/>
      </c>
      <c r="J24" s="20">
        <f>IF(C24="","",IF(G24&lt;0,"Prejuízo: não tire pró-labore","Pode transferir a Conta 3"))</f>
        <v/>
      </c>
    </row>
    <row r="25">
      <c r="A25" s="9" t="inlineStr">
        <is>
          <t>Semana 20</t>
        </is>
      </c>
      <c r="B25" s="37">
        <f>DATE(2026,1,5)+7*19</f>
        <v/>
      </c>
      <c r="C25" s="13" t="n"/>
      <c r="D25" s="13" t="n"/>
      <c r="E25" s="13" t="n"/>
      <c r="F25" s="18">
        <f>IF(C25="","",D25+E25)</f>
        <v/>
      </c>
      <c r="G25" s="18">
        <f>IF(C25="","",C25-F25)</f>
        <v/>
      </c>
      <c r="H25" s="18">
        <f>IF(C25="","",MAX(0,G25)*Config!$B$12)</f>
        <v/>
      </c>
      <c r="I25" s="15">
        <f>IF(C25="","",MAX(0,G25)-H25)</f>
        <v/>
      </c>
      <c r="J25" s="20">
        <f>IF(C25="","",IF(G25&lt;0,"Prejuízo: não tire pró-labore","Pode transferir a Conta 3"))</f>
        <v/>
      </c>
    </row>
    <row r="26">
      <c r="A26" s="9" t="inlineStr">
        <is>
          <t>Semana 21</t>
        </is>
      </c>
      <c r="B26" s="37">
        <f>DATE(2026,1,5)+7*20</f>
        <v/>
      </c>
      <c r="C26" s="13" t="n"/>
      <c r="D26" s="13" t="n"/>
      <c r="E26" s="13" t="n"/>
      <c r="F26" s="18">
        <f>IF(C26="","",D26+E26)</f>
        <v/>
      </c>
      <c r="G26" s="18">
        <f>IF(C26="","",C26-F26)</f>
        <v/>
      </c>
      <c r="H26" s="18">
        <f>IF(C26="","",MAX(0,G26)*Config!$B$12)</f>
        <v/>
      </c>
      <c r="I26" s="15">
        <f>IF(C26="","",MAX(0,G26)-H26)</f>
        <v/>
      </c>
      <c r="J26" s="20">
        <f>IF(C26="","",IF(G26&lt;0,"Prejuízo: não tire pró-labore","Pode transferir a Conta 3"))</f>
        <v/>
      </c>
    </row>
    <row r="27">
      <c r="A27" s="9" t="inlineStr">
        <is>
          <t>Semana 22</t>
        </is>
      </c>
      <c r="B27" s="37">
        <f>DATE(2026,1,5)+7*21</f>
        <v/>
      </c>
      <c r="C27" s="13" t="n"/>
      <c r="D27" s="13" t="n"/>
      <c r="E27" s="13" t="n"/>
      <c r="F27" s="18">
        <f>IF(C27="","",D27+E27)</f>
        <v/>
      </c>
      <c r="G27" s="18">
        <f>IF(C27="","",C27-F27)</f>
        <v/>
      </c>
      <c r="H27" s="18">
        <f>IF(C27="","",MAX(0,G27)*Config!$B$12)</f>
        <v/>
      </c>
      <c r="I27" s="15">
        <f>IF(C27="","",MAX(0,G27)-H27)</f>
        <v/>
      </c>
      <c r="J27" s="20">
        <f>IF(C27="","",IF(G27&lt;0,"Prejuízo: não tire pró-labore","Pode transferir a Conta 3"))</f>
        <v/>
      </c>
    </row>
    <row r="28">
      <c r="A28" s="9" t="inlineStr">
        <is>
          <t>Semana 23</t>
        </is>
      </c>
      <c r="B28" s="37">
        <f>DATE(2026,1,5)+7*22</f>
        <v/>
      </c>
      <c r="C28" s="13" t="n"/>
      <c r="D28" s="13" t="n"/>
      <c r="E28" s="13" t="n"/>
      <c r="F28" s="18">
        <f>IF(C28="","",D28+E28)</f>
        <v/>
      </c>
      <c r="G28" s="18">
        <f>IF(C28="","",C28-F28)</f>
        <v/>
      </c>
      <c r="H28" s="18">
        <f>IF(C28="","",MAX(0,G28)*Config!$B$12)</f>
        <v/>
      </c>
      <c r="I28" s="15">
        <f>IF(C28="","",MAX(0,G28)-H28)</f>
        <v/>
      </c>
      <c r="J28" s="20">
        <f>IF(C28="","",IF(G28&lt;0,"Prejuízo: não tire pró-labore","Pode transferir a Conta 3"))</f>
        <v/>
      </c>
    </row>
    <row r="29">
      <c r="A29" s="9" t="inlineStr">
        <is>
          <t>Semana 24</t>
        </is>
      </c>
      <c r="B29" s="37">
        <f>DATE(2026,1,5)+7*23</f>
        <v/>
      </c>
      <c r="C29" s="13" t="n"/>
      <c r="D29" s="13" t="n"/>
      <c r="E29" s="13" t="n"/>
      <c r="F29" s="18">
        <f>IF(C29="","",D29+E29)</f>
        <v/>
      </c>
      <c r="G29" s="18">
        <f>IF(C29="","",C29-F29)</f>
        <v/>
      </c>
      <c r="H29" s="18">
        <f>IF(C29="","",MAX(0,G29)*Config!$B$12)</f>
        <v/>
      </c>
      <c r="I29" s="15">
        <f>IF(C29="","",MAX(0,G29)-H29)</f>
        <v/>
      </c>
      <c r="J29" s="20">
        <f>IF(C29="","",IF(G29&lt;0,"Prejuízo: não tire pró-labore","Pode transferir a Conta 3"))</f>
        <v/>
      </c>
    </row>
    <row r="30">
      <c r="A30" s="9" t="inlineStr">
        <is>
          <t>Semana 25</t>
        </is>
      </c>
      <c r="B30" s="37">
        <f>DATE(2026,1,5)+7*24</f>
        <v/>
      </c>
      <c r="C30" s="13" t="n"/>
      <c r="D30" s="13" t="n"/>
      <c r="E30" s="13" t="n"/>
      <c r="F30" s="18">
        <f>IF(C30="","",D30+E30)</f>
        <v/>
      </c>
      <c r="G30" s="18">
        <f>IF(C30="","",C30-F30)</f>
        <v/>
      </c>
      <c r="H30" s="18">
        <f>IF(C30="","",MAX(0,G30)*Config!$B$12)</f>
        <v/>
      </c>
      <c r="I30" s="15">
        <f>IF(C30="","",MAX(0,G30)-H30)</f>
        <v/>
      </c>
      <c r="J30" s="20">
        <f>IF(C30="","",IF(G30&lt;0,"Prejuízo: não tire pró-labore","Pode transferir a Conta 3"))</f>
        <v/>
      </c>
    </row>
    <row r="31">
      <c r="A31" s="9" t="inlineStr">
        <is>
          <t>Semana 26</t>
        </is>
      </c>
      <c r="B31" s="37">
        <f>DATE(2026,1,5)+7*25</f>
        <v/>
      </c>
      <c r="C31" s="13" t="n"/>
      <c r="D31" s="13" t="n"/>
      <c r="E31" s="13" t="n"/>
      <c r="F31" s="18">
        <f>IF(C31="","",D31+E31)</f>
        <v/>
      </c>
      <c r="G31" s="18">
        <f>IF(C31="","",C31-F31)</f>
        <v/>
      </c>
      <c r="H31" s="18">
        <f>IF(C31="","",MAX(0,G31)*Config!$B$12)</f>
        <v/>
      </c>
      <c r="I31" s="15">
        <f>IF(C31="","",MAX(0,G31)-H31)</f>
        <v/>
      </c>
      <c r="J31" s="20">
        <f>IF(C31="","",IF(G31&lt;0,"Prejuízo: não tire pró-labore","Pode transferir a Conta 3"))</f>
        <v/>
      </c>
    </row>
    <row r="32">
      <c r="A32" s="9" t="inlineStr">
        <is>
          <t>Semana 27</t>
        </is>
      </c>
      <c r="B32" s="37">
        <f>DATE(2026,1,5)+7*26</f>
        <v/>
      </c>
      <c r="C32" s="13" t="n"/>
      <c r="D32" s="13" t="n"/>
      <c r="E32" s="13" t="n"/>
      <c r="F32" s="18">
        <f>IF(C32="","",D32+E32)</f>
        <v/>
      </c>
      <c r="G32" s="18">
        <f>IF(C32="","",C32-F32)</f>
        <v/>
      </c>
      <c r="H32" s="18">
        <f>IF(C32="","",MAX(0,G32)*Config!$B$12)</f>
        <v/>
      </c>
      <c r="I32" s="15">
        <f>IF(C32="","",MAX(0,G32)-H32)</f>
        <v/>
      </c>
      <c r="J32" s="20">
        <f>IF(C32="","",IF(G32&lt;0,"Prejuízo: não tire pró-labore","Pode transferir a Conta 3"))</f>
        <v/>
      </c>
    </row>
    <row r="33">
      <c r="A33" s="9" t="inlineStr">
        <is>
          <t>Semana 28</t>
        </is>
      </c>
      <c r="B33" s="37">
        <f>DATE(2026,1,5)+7*27</f>
        <v/>
      </c>
      <c r="C33" s="13" t="n"/>
      <c r="D33" s="13" t="n"/>
      <c r="E33" s="13" t="n"/>
      <c r="F33" s="18">
        <f>IF(C33="","",D33+E33)</f>
        <v/>
      </c>
      <c r="G33" s="18">
        <f>IF(C33="","",C33-F33)</f>
        <v/>
      </c>
      <c r="H33" s="18">
        <f>IF(C33="","",MAX(0,G33)*Config!$B$12)</f>
        <v/>
      </c>
      <c r="I33" s="15">
        <f>IF(C33="","",MAX(0,G33)-H33)</f>
        <v/>
      </c>
      <c r="J33" s="20">
        <f>IF(C33="","",IF(G33&lt;0,"Prejuízo: não tire pró-labore","Pode transferir a Conta 3"))</f>
        <v/>
      </c>
    </row>
    <row r="34">
      <c r="A34" s="9" t="inlineStr">
        <is>
          <t>Semana 29</t>
        </is>
      </c>
      <c r="B34" s="37">
        <f>DATE(2026,1,5)+7*28</f>
        <v/>
      </c>
      <c r="C34" s="13" t="n"/>
      <c r="D34" s="13" t="n"/>
      <c r="E34" s="13" t="n"/>
      <c r="F34" s="18">
        <f>IF(C34="","",D34+E34)</f>
        <v/>
      </c>
      <c r="G34" s="18">
        <f>IF(C34="","",C34-F34)</f>
        <v/>
      </c>
      <c r="H34" s="18">
        <f>IF(C34="","",MAX(0,G34)*Config!$B$12)</f>
        <v/>
      </c>
      <c r="I34" s="15">
        <f>IF(C34="","",MAX(0,G34)-H34)</f>
        <v/>
      </c>
      <c r="J34" s="20">
        <f>IF(C34="","",IF(G34&lt;0,"Prejuízo: não tire pró-labore","Pode transferir a Conta 3"))</f>
        <v/>
      </c>
    </row>
    <row r="35">
      <c r="A35" s="9" t="inlineStr">
        <is>
          <t>Semana 30</t>
        </is>
      </c>
      <c r="B35" s="37">
        <f>DATE(2026,1,5)+7*29</f>
        <v/>
      </c>
      <c r="C35" s="13" t="n"/>
      <c r="D35" s="13" t="n"/>
      <c r="E35" s="13" t="n"/>
      <c r="F35" s="18">
        <f>IF(C35="","",D35+E35)</f>
        <v/>
      </c>
      <c r="G35" s="18">
        <f>IF(C35="","",C35-F35)</f>
        <v/>
      </c>
      <c r="H35" s="18">
        <f>IF(C35="","",MAX(0,G35)*Config!$B$12)</f>
        <v/>
      </c>
      <c r="I35" s="15">
        <f>IF(C35="","",MAX(0,G35)-H35)</f>
        <v/>
      </c>
      <c r="J35" s="20">
        <f>IF(C35="","",IF(G35&lt;0,"Prejuízo: não tire pró-labore","Pode transferir a Conta 3"))</f>
        <v/>
      </c>
    </row>
    <row r="36">
      <c r="A36" s="9" t="inlineStr">
        <is>
          <t>Semana 31</t>
        </is>
      </c>
      <c r="B36" s="37">
        <f>DATE(2026,1,5)+7*30</f>
        <v/>
      </c>
      <c r="C36" s="13" t="n"/>
      <c r="D36" s="13" t="n"/>
      <c r="E36" s="13" t="n"/>
      <c r="F36" s="18">
        <f>IF(C36="","",D36+E36)</f>
        <v/>
      </c>
      <c r="G36" s="18">
        <f>IF(C36="","",C36-F36)</f>
        <v/>
      </c>
      <c r="H36" s="18">
        <f>IF(C36="","",MAX(0,G36)*Config!$B$12)</f>
        <v/>
      </c>
      <c r="I36" s="15">
        <f>IF(C36="","",MAX(0,G36)-H36)</f>
        <v/>
      </c>
      <c r="J36" s="20">
        <f>IF(C36="","",IF(G36&lt;0,"Prejuízo: não tire pró-labore","Pode transferir a Conta 3"))</f>
        <v/>
      </c>
    </row>
    <row r="37">
      <c r="A37" s="9" t="inlineStr">
        <is>
          <t>Semana 32</t>
        </is>
      </c>
      <c r="B37" s="37">
        <f>DATE(2026,1,5)+7*31</f>
        <v/>
      </c>
      <c r="C37" s="13" t="n"/>
      <c r="D37" s="13" t="n"/>
      <c r="E37" s="13" t="n"/>
      <c r="F37" s="18">
        <f>IF(C37="","",D37+E37)</f>
        <v/>
      </c>
      <c r="G37" s="18">
        <f>IF(C37="","",C37-F37)</f>
        <v/>
      </c>
      <c r="H37" s="18">
        <f>IF(C37="","",MAX(0,G37)*Config!$B$12)</f>
        <v/>
      </c>
      <c r="I37" s="15">
        <f>IF(C37="","",MAX(0,G37)-H37)</f>
        <v/>
      </c>
      <c r="J37" s="20">
        <f>IF(C37="","",IF(G37&lt;0,"Prejuízo: não tire pró-labore","Pode transferir a Conta 3"))</f>
        <v/>
      </c>
    </row>
    <row r="38">
      <c r="A38" s="9" t="inlineStr">
        <is>
          <t>Semana 33</t>
        </is>
      </c>
      <c r="B38" s="37">
        <f>DATE(2026,1,5)+7*32</f>
        <v/>
      </c>
      <c r="C38" s="13" t="n"/>
      <c r="D38" s="13" t="n"/>
      <c r="E38" s="13" t="n"/>
      <c r="F38" s="18">
        <f>IF(C38="","",D38+E38)</f>
        <v/>
      </c>
      <c r="G38" s="18">
        <f>IF(C38="","",C38-F38)</f>
        <v/>
      </c>
      <c r="H38" s="18">
        <f>IF(C38="","",MAX(0,G38)*Config!$B$12)</f>
        <v/>
      </c>
      <c r="I38" s="15">
        <f>IF(C38="","",MAX(0,G38)-H38)</f>
        <v/>
      </c>
      <c r="J38" s="20">
        <f>IF(C38="","",IF(G38&lt;0,"Prejuízo: não tire pró-labore","Pode transferir a Conta 3"))</f>
        <v/>
      </c>
    </row>
    <row r="39">
      <c r="A39" s="9" t="inlineStr">
        <is>
          <t>Semana 34</t>
        </is>
      </c>
      <c r="B39" s="37">
        <f>DATE(2026,1,5)+7*33</f>
        <v/>
      </c>
      <c r="C39" s="13" t="n"/>
      <c r="D39" s="13" t="n"/>
      <c r="E39" s="13" t="n"/>
      <c r="F39" s="18">
        <f>IF(C39="","",D39+E39)</f>
        <v/>
      </c>
      <c r="G39" s="18">
        <f>IF(C39="","",C39-F39)</f>
        <v/>
      </c>
      <c r="H39" s="18">
        <f>IF(C39="","",MAX(0,G39)*Config!$B$12)</f>
        <v/>
      </c>
      <c r="I39" s="15">
        <f>IF(C39="","",MAX(0,G39)-H39)</f>
        <v/>
      </c>
      <c r="J39" s="20">
        <f>IF(C39="","",IF(G39&lt;0,"Prejuízo: não tire pró-labore","Pode transferir a Conta 3"))</f>
        <v/>
      </c>
    </row>
    <row r="40">
      <c r="A40" s="9" t="inlineStr">
        <is>
          <t>Semana 35</t>
        </is>
      </c>
      <c r="B40" s="37">
        <f>DATE(2026,1,5)+7*34</f>
        <v/>
      </c>
      <c r="C40" s="13" t="n"/>
      <c r="D40" s="13" t="n"/>
      <c r="E40" s="13" t="n"/>
      <c r="F40" s="18">
        <f>IF(C40="","",D40+E40)</f>
        <v/>
      </c>
      <c r="G40" s="18">
        <f>IF(C40="","",C40-F40)</f>
        <v/>
      </c>
      <c r="H40" s="18">
        <f>IF(C40="","",MAX(0,G40)*Config!$B$12)</f>
        <v/>
      </c>
      <c r="I40" s="15">
        <f>IF(C40="","",MAX(0,G40)-H40)</f>
        <v/>
      </c>
      <c r="J40" s="20">
        <f>IF(C40="","",IF(G40&lt;0,"Prejuízo: não tire pró-labore","Pode transferir a Conta 3"))</f>
        <v/>
      </c>
    </row>
    <row r="41">
      <c r="A41" s="9" t="inlineStr">
        <is>
          <t>Semana 36</t>
        </is>
      </c>
      <c r="B41" s="37">
        <f>DATE(2026,1,5)+7*35</f>
        <v/>
      </c>
      <c r="C41" s="13" t="n"/>
      <c r="D41" s="13" t="n"/>
      <c r="E41" s="13" t="n"/>
      <c r="F41" s="18">
        <f>IF(C41="","",D41+E41)</f>
        <v/>
      </c>
      <c r="G41" s="18">
        <f>IF(C41="","",C41-F41)</f>
        <v/>
      </c>
      <c r="H41" s="18">
        <f>IF(C41="","",MAX(0,G41)*Config!$B$12)</f>
        <v/>
      </c>
      <c r="I41" s="15">
        <f>IF(C41="","",MAX(0,G41)-H41)</f>
        <v/>
      </c>
      <c r="J41" s="20">
        <f>IF(C41="","",IF(G41&lt;0,"Prejuízo: não tire pró-labore","Pode transferir a Conta 3"))</f>
        <v/>
      </c>
    </row>
    <row r="42">
      <c r="A42" s="9" t="inlineStr">
        <is>
          <t>Semana 37</t>
        </is>
      </c>
      <c r="B42" s="37">
        <f>DATE(2026,1,5)+7*36</f>
        <v/>
      </c>
      <c r="C42" s="13" t="n"/>
      <c r="D42" s="13" t="n"/>
      <c r="E42" s="13" t="n"/>
      <c r="F42" s="18">
        <f>IF(C42="","",D42+E42)</f>
        <v/>
      </c>
      <c r="G42" s="18">
        <f>IF(C42="","",C42-F42)</f>
        <v/>
      </c>
      <c r="H42" s="18">
        <f>IF(C42="","",MAX(0,G42)*Config!$B$12)</f>
        <v/>
      </c>
      <c r="I42" s="15">
        <f>IF(C42="","",MAX(0,G42)-H42)</f>
        <v/>
      </c>
      <c r="J42" s="20">
        <f>IF(C42="","",IF(G42&lt;0,"Prejuízo: não tire pró-labore","Pode transferir a Conta 3"))</f>
        <v/>
      </c>
    </row>
    <row r="43">
      <c r="A43" s="9" t="inlineStr">
        <is>
          <t>Semana 38</t>
        </is>
      </c>
      <c r="B43" s="37">
        <f>DATE(2026,1,5)+7*37</f>
        <v/>
      </c>
      <c r="C43" s="13" t="n"/>
      <c r="D43" s="13" t="n"/>
      <c r="E43" s="13" t="n"/>
      <c r="F43" s="18">
        <f>IF(C43="","",D43+E43)</f>
        <v/>
      </c>
      <c r="G43" s="18">
        <f>IF(C43="","",C43-F43)</f>
        <v/>
      </c>
      <c r="H43" s="18">
        <f>IF(C43="","",MAX(0,G43)*Config!$B$12)</f>
        <v/>
      </c>
      <c r="I43" s="15">
        <f>IF(C43="","",MAX(0,G43)-H43)</f>
        <v/>
      </c>
      <c r="J43" s="20">
        <f>IF(C43="","",IF(G43&lt;0,"Prejuízo: não tire pró-labore","Pode transferir a Conta 3"))</f>
        <v/>
      </c>
    </row>
    <row r="44">
      <c r="A44" s="9" t="inlineStr">
        <is>
          <t>Semana 39</t>
        </is>
      </c>
      <c r="B44" s="37">
        <f>DATE(2026,1,5)+7*38</f>
        <v/>
      </c>
      <c r="C44" s="13" t="n"/>
      <c r="D44" s="13" t="n"/>
      <c r="E44" s="13" t="n"/>
      <c r="F44" s="18">
        <f>IF(C44="","",D44+E44)</f>
        <v/>
      </c>
      <c r="G44" s="18">
        <f>IF(C44="","",C44-F44)</f>
        <v/>
      </c>
      <c r="H44" s="18">
        <f>IF(C44="","",MAX(0,G44)*Config!$B$12)</f>
        <v/>
      </c>
      <c r="I44" s="15">
        <f>IF(C44="","",MAX(0,G44)-H44)</f>
        <v/>
      </c>
      <c r="J44" s="20">
        <f>IF(C44="","",IF(G44&lt;0,"Prejuízo: não tire pró-labore","Pode transferir a Conta 3"))</f>
        <v/>
      </c>
    </row>
    <row r="45">
      <c r="A45" s="9" t="inlineStr">
        <is>
          <t>Semana 40</t>
        </is>
      </c>
      <c r="B45" s="37">
        <f>DATE(2026,1,5)+7*39</f>
        <v/>
      </c>
      <c r="C45" s="13" t="n"/>
      <c r="D45" s="13" t="n"/>
      <c r="E45" s="13" t="n"/>
      <c r="F45" s="18">
        <f>IF(C45="","",D45+E45)</f>
        <v/>
      </c>
      <c r="G45" s="18">
        <f>IF(C45="","",C45-F45)</f>
        <v/>
      </c>
      <c r="H45" s="18">
        <f>IF(C45="","",MAX(0,G45)*Config!$B$12)</f>
        <v/>
      </c>
      <c r="I45" s="15">
        <f>IF(C45="","",MAX(0,G45)-H45)</f>
        <v/>
      </c>
      <c r="J45" s="20">
        <f>IF(C45="","",IF(G45&lt;0,"Prejuízo: não tire pró-labore","Pode transferir a Conta 3"))</f>
        <v/>
      </c>
    </row>
    <row r="46">
      <c r="A46" s="9" t="inlineStr">
        <is>
          <t>Semana 41</t>
        </is>
      </c>
      <c r="B46" s="37">
        <f>DATE(2026,1,5)+7*40</f>
        <v/>
      </c>
      <c r="C46" s="13" t="n"/>
      <c r="D46" s="13" t="n"/>
      <c r="E46" s="13" t="n"/>
      <c r="F46" s="18">
        <f>IF(C46="","",D46+E46)</f>
        <v/>
      </c>
      <c r="G46" s="18">
        <f>IF(C46="","",C46-F46)</f>
        <v/>
      </c>
      <c r="H46" s="18">
        <f>IF(C46="","",MAX(0,G46)*Config!$B$12)</f>
        <v/>
      </c>
      <c r="I46" s="15">
        <f>IF(C46="","",MAX(0,G46)-H46)</f>
        <v/>
      </c>
      <c r="J46" s="20">
        <f>IF(C46="","",IF(G46&lt;0,"Prejuízo: não tire pró-labore","Pode transferir a Conta 3"))</f>
        <v/>
      </c>
    </row>
    <row r="47">
      <c r="A47" s="9" t="inlineStr">
        <is>
          <t>Semana 42</t>
        </is>
      </c>
      <c r="B47" s="37">
        <f>DATE(2026,1,5)+7*41</f>
        <v/>
      </c>
      <c r="C47" s="13" t="n"/>
      <c r="D47" s="13" t="n"/>
      <c r="E47" s="13" t="n"/>
      <c r="F47" s="18">
        <f>IF(C47="","",D47+E47)</f>
        <v/>
      </c>
      <c r="G47" s="18">
        <f>IF(C47="","",C47-F47)</f>
        <v/>
      </c>
      <c r="H47" s="18">
        <f>IF(C47="","",MAX(0,G47)*Config!$B$12)</f>
        <v/>
      </c>
      <c r="I47" s="15">
        <f>IF(C47="","",MAX(0,G47)-H47)</f>
        <v/>
      </c>
      <c r="J47" s="20">
        <f>IF(C47="","",IF(G47&lt;0,"Prejuízo: não tire pró-labore","Pode transferir a Conta 3"))</f>
        <v/>
      </c>
    </row>
    <row r="48">
      <c r="A48" s="9" t="inlineStr">
        <is>
          <t>Semana 43</t>
        </is>
      </c>
      <c r="B48" s="37">
        <f>DATE(2026,1,5)+7*42</f>
        <v/>
      </c>
      <c r="C48" s="13" t="n"/>
      <c r="D48" s="13" t="n"/>
      <c r="E48" s="13" t="n"/>
      <c r="F48" s="18">
        <f>IF(C48="","",D48+E48)</f>
        <v/>
      </c>
      <c r="G48" s="18">
        <f>IF(C48="","",C48-F48)</f>
        <v/>
      </c>
      <c r="H48" s="18">
        <f>IF(C48="","",MAX(0,G48)*Config!$B$12)</f>
        <v/>
      </c>
      <c r="I48" s="15">
        <f>IF(C48="","",MAX(0,G48)-H48)</f>
        <v/>
      </c>
      <c r="J48" s="20">
        <f>IF(C48="","",IF(G48&lt;0,"Prejuízo: não tire pró-labore","Pode transferir a Conta 3"))</f>
        <v/>
      </c>
    </row>
    <row r="49">
      <c r="A49" s="9" t="inlineStr">
        <is>
          <t>Semana 44</t>
        </is>
      </c>
      <c r="B49" s="37">
        <f>DATE(2026,1,5)+7*43</f>
        <v/>
      </c>
      <c r="C49" s="13" t="n"/>
      <c r="D49" s="13" t="n"/>
      <c r="E49" s="13" t="n"/>
      <c r="F49" s="18">
        <f>IF(C49="","",D49+E49)</f>
        <v/>
      </c>
      <c r="G49" s="18">
        <f>IF(C49="","",C49-F49)</f>
        <v/>
      </c>
      <c r="H49" s="18">
        <f>IF(C49="","",MAX(0,G49)*Config!$B$12)</f>
        <v/>
      </c>
      <c r="I49" s="15">
        <f>IF(C49="","",MAX(0,G49)-H49)</f>
        <v/>
      </c>
      <c r="J49" s="20">
        <f>IF(C49="","",IF(G49&lt;0,"Prejuízo: não tire pró-labore","Pode transferir a Conta 3"))</f>
        <v/>
      </c>
    </row>
    <row r="50">
      <c r="A50" s="9" t="inlineStr">
        <is>
          <t>Semana 45</t>
        </is>
      </c>
      <c r="B50" s="37">
        <f>DATE(2026,1,5)+7*44</f>
        <v/>
      </c>
      <c r="C50" s="13" t="n"/>
      <c r="D50" s="13" t="n"/>
      <c r="E50" s="13" t="n"/>
      <c r="F50" s="18">
        <f>IF(C50="","",D50+E50)</f>
        <v/>
      </c>
      <c r="G50" s="18">
        <f>IF(C50="","",C50-F50)</f>
        <v/>
      </c>
      <c r="H50" s="18">
        <f>IF(C50="","",MAX(0,G50)*Config!$B$12)</f>
        <v/>
      </c>
      <c r="I50" s="15">
        <f>IF(C50="","",MAX(0,G50)-H50)</f>
        <v/>
      </c>
      <c r="J50" s="20">
        <f>IF(C50="","",IF(G50&lt;0,"Prejuízo: não tire pró-labore","Pode transferir a Conta 3"))</f>
        <v/>
      </c>
    </row>
    <row r="51">
      <c r="A51" s="9" t="inlineStr">
        <is>
          <t>Semana 46</t>
        </is>
      </c>
      <c r="B51" s="37">
        <f>DATE(2026,1,5)+7*45</f>
        <v/>
      </c>
      <c r="C51" s="13" t="n"/>
      <c r="D51" s="13" t="n"/>
      <c r="E51" s="13" t="n"/>
      <c r="F51" s="18">
        <f>IF(C51="","",D51+E51)</f>
        <v/>
      </c>
      <c r="G51" s="18">
        <f>IF(C51="","",C51-F51)</f>
        <v/>
      </c>
      <c r="H51" s="18">
        <f>IF(C51="","",MAX(0,G51)*Config!$B$12)</f>
        <v/>
      </c>
      <c r="I51" s="15">
        <f>IF(C51="","",MAX(0,G51)-H51)</f>
        <v/>
      </c>
      <c r="J51" s="20">
        <f>IF(C51="","",IF(G51&lt;0,"Prejuízo: não tire pró-labore","Pode transferir a Conta 3"))</f>
        <v/>
      </c>
    </row>
    <row r="52">
      <c r="A52" s="9" t="inlineStr">
        <is>
          <t>Semana 47</t>
        </is>
      </c>
      <c r="B52" s="37">
        <f>DATE(2026,1,5)+7*46</f>
        <v/>
      </c>
      <c r="C52" s="13" t="n"/>
      <c r="D52" s="13" t="n"/>
      <c r="E52" s="13" t="n"/>
      <c r="F52" s="18">
        <f>IF(C52="","",D52+E52)</f>
        <v/>
      </c>
      <c r="G52" s="18">
        <f>IF(C52="","",C52-F52)</f>
        <v/>
      </c>
      <c r="H52" s="18">
        <f>IF(C52="","",MAX(0,G52)*Config!$B$12)</f>
        <v/>
      </c>
      <c r="I52" s="15">
        <f>IF(C52="","",MAX(0,G52)-H52)</f>
        <v/>
      </c>
      <c r="J52" s="20">
        <f>IF(C52="","",IF(G52&lt;0,"Prejuízo: não tire pró-labore","Pode transferir a Conta 3"))</f>
        <v/>
      </c>
    </row>
    <row r="53">
      <c r="A53" s="9" t="inlineStr">
        <is>
          <t>Semana 48</t>
        </is>
      </c>
      <c r="B53" s="37">
        <f>DATE(2026,1,5)+7*47</f>
        <v/>
      </c>
      <c r="C53" s="13" t="n"/>
      <c r="D53" s="13" t="n"/>
      <c r="E53" s="13" t="n"/>
      <c r="F53" s="18">
        <f>IF(C53="","",D53+E53)</f>
        <v/>
      </c>
      <c r="G53" s="18">
        <f>IF(C53="","",C53-F53)</f>
        <v/>
      </c>
      <c r="H53" s="18">
        <f>IF(C53="","",MAX(0,G53)*Config!$B$12)</f>
        <v/>
      </c>
      <c r="I53" s="15">
        <f>IF(C53="","",MAX(0,G53)-H53)</f>
        <v/>
      </c>
      <c r="J53" s="20">
        <f>IF(C53="","",IF(G53&lt;0,"Prejuízo: não tire pró-labore","Pode transferir a Conta 3"))</f>
        <v/>
      </c>
    </row>
    <row r="54">
      <c r="A54" s="9" t="inlineStr">
        <is>
          <t>Semana 49</t>
        </is>
      </c>
      <c r="B54" s="37">
        <f>DATE(2026,1,5)+7*48</f>
        <v/>
      </c>
      <c r="C54" s="13" t="n"/>
      <c r="D54" s="13" t="n"/>
      <c r="E54" s="13" t="n"/>
      <c r="F54" s="18">
        <f>IF(C54="","",D54+E54)</f>
        <v/>
      </c>
      <c r="G54" s="18">
        <f>IF(C54="","",C54-F54)</f>
        <v/>
      </c>
      <c r="H54" s="18">
        <f>IF(C54="","",MAX(0,G54)*Config!$B$12)</f>
        <v/>
      </c>
      <c r="I54" s="15">
        <f>IF(C54="","",MAX(0,G54)-H54)</f>
        <v/>
      </c>
      <c r="J54" s="20">
        <f>IF(C54="","",IF(G54&lt;0,"Prejuízo: não tire pró-labore","Pode transferir a Conta 3"))</f>
        <v/>
      </c>
    </row>
    <row r="55">
      <c r="A55" s="9" t="inlineStr">
        <is>
          <t>Semana 50</t>
        </is>
      </c>
      <c r="B55" s="37">
        <f>DATE(2026,1,5)+7*49</f>
        <v/>
      </c>
      <c r="C55" s="13" t="n"/>
      <c r="D55" s="13" t="n"/>
      <c r="E55" s="13" t="n"/>
      <c r="F55" s="18">
        <f>IF(C55="","",D55+E55)</f>
        <v/>
      </c>
      <c r="G55" s="18">
        <f>IF(C55="","",C55-F55)</f>
        <v/>
      </c>
      <c r="H55" s="18">
        <f>IF(C55="","",MAX(0,G55)*Config!$B$12)</f>
        <v/>
      </c>
      <c r="I55" s="15">
        <f>IF(C55="","",MAX(0,G55)-H55)</f>
        <v/>
      </c>
      <c r="J55" s="20">
        <f>IF(C55="","",IF(G55&lt;0,"Prejuízo: não tire pró-labore","Pode transferir a Conta 3"))</f>
        <v/>
      </c>
    </row>
    <row r="56">
      <c r="A56" s="9" t="inlineStr">
        <is>
          <t>Semana 51</t>
        </is>
      </c>
      <c r="B56" s="37">
        <f>DATE(2026,1,5)+7*50</f>
        <v/>
      </c>
      <c r="C56" s="13" t="n"/>
      <c r="D56" s="13" t="n"/>
      <c r="E56" s="13" t="n"/>
      <c r="F56" s="18">
        <f>IF(C56="","",D56+E56)</f>
        <v/>
      </c>
      <c r="G56" s="18">
        <f>IF(C56="","",C56-F56)</f>
        <v/>
      </c>
      <c r="H56" s="18">
        <f>IF(C56="","",MAX(0,G56)*Config!$B$12)</f>
        <v/>
      </c>
      <c r="I56" s="15">
        <f>IF(C56="","",MAX(0,G56)-H56)</f>
        <v/>
      </c>
      <c r="J56" s="20">
        <f>IF(C56="","",IF(G56&lt;0,"Prejuízo: não tire pró-labore","Pode transferir a Conta 3"))</f>
        <v/>
      </c>
    </row>
    <row r="57">
      <c r="A57" s="9" t="inlineStr">
        <is>
          <t>Semana 52</t>
        </is>
      </c>
      <c r="B57" s="37">
        <f>DATE(2026,1,5)+7*51</f>
        <v/>
      </c>
      <c r="C57" s="13" t="n"/>
      <c r="D57" s="13" t="n"/>
      <c r="E57" s="13" t="n"/>
      <c r="F57" s="18">
        <f>IF(C57="","",D57+E57)</f>
        <v/>
      </c>
      <c r="G57" s="18">
        <f>IF(C57="","",C57-F57)</f>
        <v/>
      </c>
      <c r="H57" s="18">
        <f>IF(C57="","",MAX(0,G57)*Config!$B$12)</f>
        <v/>
      </c>
      <c r="I57" s="15">
        <f>IF(C57="","",MAX(0,G57)-H57)</f>
        <v/>
      </c>
      <c r="J57" s="20">
        <f>IF(C57="","",IF(G57&lt;0,"Prejuízo: não tire pró-labore","Pode transferir a Conta 3"))</f>
        <v/>
      </c>
    </row>
    <row r="58">
      <c r="A58" s="21" t="inlineStr">
        <is>
          <t>Total</t>
        </is>
      </c>
      <c r="B58" s="36" t="n"/>
      <c r="C58" s="22">
        <f>SUM(C6:C57)</f>
        <v/>
      </c>
      <c r="D58" s="22">
        <f>SUM(D6:D57)</f>
        <v/>
      </c>
      <c r="E58" s="22">
        <f>SUM(E6:E57)</f>
        <v/>
      </c>
      <c r="F58" s="22">
        <f>SUM(F6:F57)</f>
        <v/>
      </c>
      <c r="G58" s="22">
        <f>SUM(G6:G57)</f>
        <v/>
      </c>
      <c r="H58" s="22">
        <f>SUM(H6:H57)</f>
        <v/>
      </c>
      <c r="I58" s="22">
        <f>SUM(I6:I57)</f>
        <v/>
      </c>
      <c r="J58" s="36" t="n"/>
    </row>
    <row r="60">
      <c r="A60" s="25" t="inlineStr">
        <is>
          <t>Exemplo</t>
        </is>
      </c>
      <c r="C60" s="26" t="n">
        <v>6500</v>
      </c>
      <c r="D60" s="26" t="n">
        <v>1500</v>
      </c>
      <c r="E60" s="26" t="n">
        <v>500</v>
      </c>
      <c r="F60" s="26">
        <f>D60+E60</f>
        <v/>
      </c>
      <c r="G60" s="26">
        <f>C60-F60</f>
        <v/>
      </c>
      <c r="H60" s="26">
        <f>MAX(0,G60)*Config!$B$12</f>
        <v/>
      </c>
      <c r="I60" s="26">
        <f>MAX(0,G60)-H60</f>
        <v/>
      </c>
      <c r="J60" s="27" t="inlineStr">
        <is>
          <t>Linha de exemplo: não entra nas somas</t>
        </is>
      </c>
    </row>
  </sheetData>
  <conditionalFormatting sqref="J6:J57">
    <cfRule type="expression" priority="1" dxfId="0">
      <formula>LEFT(J6,8)="Prejuízo"</formula>
    </cfRule>
    <cfRule type="expression" priority="2" dxfId="3">
      <formula>LEFT(J6,4)="Pode"</formula>
    </cfRule>
  </conditionalFormatting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showGridLines="0" workbookViewId="0">
      <selection activeCell="A1" sqref="A1"/>
    </sheetView>
  </sheetViews>
  <sheetFormatPr baseColWidth="8" defaultRowHeight="15"/>
  <cols>
    <col width="78" customWidth="1" min="1" max="1"/>
    <col width="20" customWidth="1" min="2" max="2"/>
    <col width="10" customWidth="1" min="3" max="3"/>
  </cols>
  <sheetData>
    <row r="1">
      <c r="A1" s="38" t="inlineStr">
        <is>
          <t>RELATÓRIO MENSAL DAS RECEITAS BRUTAS</t>
        </is>
      </c>
    </row>
    <row r="2">
      <c r="A2" s="2" t="inlineStr">
        <is>
          <t>Microempreendedor Individual · guarde impresso com as notas fiscais de compras e de vendas do mês</t>
        </is>
      </c>
    </row>
    <row r="4">
      <c r="A4" s="9" t="inlineStr">
        <is>
          <t>CNPJ</t>
        </is>
      </c>
      <c r="B4" s="39">
        <f>Config!B5</f>
        <v/>
      </c>
    </row>
    <row r="5">
      <c r="A5" s="9" t="inlineStr">
        <is>
          <t>Empreendedor individual</t>
        </is>
      </c>
      <c r="B5" s="39">
        <f>Config!B4</f>
        <v/>
      </c>
    </row>
    <row r="6">
      <c r="A6" s="9" t="inlineStr">
        <is>
          <t>Período de apuração (escolha o mês)</t>
        </is>
      </c>
      <c r="B6" s="8" t="inlineStr">
        <is>
          <t>Janeiro</t>
        </is>
      </c>
      <c r="C6" s="4" t="inlineStr">
        <is>
          <t>de 2026</t>
        </is>
      </c>
    </row>
    <row r="8" ht="28" customHeight="1">
      <c r="A8" s="40" t="inlineStr">
        <is>
          <t>RECEITA BRUTA MENSAL – REVENDA DE MERCADORIAS (COMÉRCIO)</t>
        </is>
      </c>
      <c r="B8" s="41" t="n"/>
    </row>
    <row r="9" ht="28" customHeight="1">
      <c r="A9" s="42" t="inlineStr">
        <is>
          <t>I – Revenda de mercadorias com dispensa de emissão de documento fiscal</t>
        </is>
      </c>
      <c r="B9" s="30">
        <f>INDEX(Controle_2026!$C$5:$C$16,MATCH($B$6,Controle_2026!$A$5:$A$16,0))</f>
        <v/>
      </c>
    </row>
    <row r="10" ht="28" customHeight="1">
      <c r="A10" s="42" t="inlineStr">
        <is>
          <t>II – Revenda de mercadorias com documento fiscal emitido</t>
        </is>
      </c>
      <c r="B10" s="30">
        <f>INDEX(Controle_2026!$B$5:$B$16,MATCH($B$6,Controle_2026!$A$5:$A$16,0))</f>
        <v/>
      </c>
    </row>
    <row r="11" ht="28" customHeight="1">
      <c r="A11" s="43" t="inlineStr">
        <is>
          <t>III – Total das receitas com revenda de mercadorias (I + II)</t>
        </is>
      </c>
      <c r="B11" s="15">
        <f>B9+B10</f>
        <v/>
      </c>
    </row>
    <row r="12" ht="28" customHeight="1">
      <c r="A12" s="40" t="inlineStr">
        <is>
          <t>RECEITA BRUTA MENSAL – VENDA DE PRODUTOS INDUSTRIALIZADOS (INDÚSTRIA)</t>
        </is>
      </c>
      <c r="B12" s="41" t="n"/>
    </row>
    <row r="13" ht="28" customHeight="1">
      <c r="A13" s="42" t="inlineStr">
        <is>
          <t>IV – Venda de produtos industrializados com dispensa de emissão de documento fiscal</t>
        </is>
      </c>
      <c r="B13" s="30">
        <f>INDEX(Controle_2026!$E$5:$E$16,MATCH($B$6,Controle_2026!$A$5:$A$16,0))</f>
        <v/>
      </c>
    </row>
    <row r="14" ht="28" customHeight="1">
      <c r="A14" s="42" t="inlineStr">
        <is>
          <t>V – Venda de produtos industrializados com documento fiscal emitido</t>
        </is>
      </c>
      <c r="B14" s="30">
        <f>INDEX(Controle_2026!$D$5:$D$16,MATCH($B$6,Controle_2026!$A$5:$A$16,0))</f>
        <v/>
      </c>
    </row>
    <row r="15" ht="28" customHeight="1">
      <c r="A15" s="43" t="inlineStr">
        <is>
          <t>VI – Total das receitas com venda de produtos industrializados (IV + V)</t>
        </is>
      </c>
      <c r="B15" s="15">
        <f>B13+B14</f>
        <v/>
      </c>
    </row>
    <row r="16" ht="28" customHeight="1">
      <c r="A16" s="40" t="inlineStr">
        <is>
          <t>RECEITA BRUTA MENSAL – PRESTAÇÃO DE SERVIÇOS</t>
        </is>
      </c>
      <c r="B16" s="41" t="n"/>
    </row>
    <row r="17" ht="28" customHeight="1">
      <c r="A17" s="42" t="inlineStr">
        <is>
          <t>VII – Receita com prestação de serviços com dispensa de emissão de documento fiscal</t>
        </is>
      </c>
      <c r="B17" s="30">
        <f>INDEX(Controle_2026!$G$5:$G$16,MATCH($B$6,Controle_2026!$A$5:$A$16,0))</f>
        <v/>
      </c>
    </row>
    <row r="18" ht="28" customHeight="1">
      <c r="A18" s="42" t="inlineStr">
        <is>
          <t>VIII – Receita com prestação de serviços com documento fiscal emitido</t>
        </is>
      </c>
      <c r="B18" s="30">
        <f>INDEX(Controle_2026!$F$5:$F$16,MATCH($B$6,Controle_2026!$A$5:$A$16,0))</f>
        <v/>
      </c>
    </row>
    <row r="19" ht="28" customHeight="1">
      <c r="A19" s="43" t="inlineStr">
        <is>
          <t>IX – Total das receitas com prestação de serviços (VII + VIII)</t>
        </is>
      </c>
      <c r="B19" s="15">
        <f>B17+B18</f>
        <v/>
      </c>
    </row>
    <row r="20" ht="28" customHeight="1">
      <c r="A20" s="44" t="inlineStr">
        <is>
          <t>X – Total geral das receitas brutas no mês (III + VI + IX)</t>
        </is>
      </c>
      <c r="B20" s="22">
        <f>B11+B15+B19</f>
        <v/>
      </c>
    </row>
    <row r="23">
      <c r="A23" s="4" t="inlineStr">
        <is>
          <t>LOCAL E DATA: ______________________________________</t>
        </is>
      </c>
    </row>
    <row r="25">
      <c r="A25" s="4" t="inlineStr">
        <is>
          <t>ASSINATURA DO EMPRESÁRIO: _____________________________</t>
        </is>
      </c>
    </row>
    <row r="27">
      <c r="A27" s="9" t="inlineStr">
        <is>
          <t>ENCONTRAM-SE ANEXADOS A ESTE RELATÓRIO:</t>
        </is>
      </c>
    </row>
    <row r="28">
      <c r="A28" s="4" t="inlineStr">
        <is>
          <t>- Os documentos fiscais comprobatórios das entradas de mercadorias e serviços tomados referentes ao período;</t>
        </is>
      </c>
    </row>
    <row r="29">
      <c r="A29" s="4" t="inlineStr">
        <is>
          <t>- As notas fiscais relativas às operações ou prestações realizadas eventualmente emitidas.</t>
        </is>
      </c>
    </row>
  </sheetData>
  <dataValidations count="1">
    <dataValidation sqref="B6" showDropDown="0" showInputMessage="0" showErrorMessage="0" allowBlank="0" type="list">
      <formula1>=Controle_2026!$A$5:$A$16</formula1>
    </dataValidation>
  </dataValidation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MEI na Real</dc:creator>
  <dc:title>Planilha das 3 Contas + Controle do Teto MEI 2026</dc:title>
  <dcterms:created xsi:type="dcterms:W3CDTF">2026-10-29T12:20:09Z</dcterms:created>
  <dcterms:modified xsi:type="dcterms:W3CDTF">2026-10-29T12:20:10Z</dcterms:modified>
</cp:coreProperties>
</file>